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X:\10 Data and Results\APCD and Onpoint\Contract adjudication\"/>
    </mc:Choice>
  </mc:AlternateContent>
  <xr:revisionPtr revIDLastSave="0" documentId="13_ncr:1_{00715759-6AE1-4168-B2E1-397B75E3037F}" xr6:coauthVersionLast="31" xr6:coauthVersionMax="31" xr10:uidLastSave="{00000000-0000-0000-0000-000000000000}"/>
  <bookViews>
    <workbookView xWindow="0" yWindow="0" windowWidth="15120" windowHeight="11370" activeTab="3" xr2:uid="{00000000-000D-0000-FFFF-FFFF00000000}"/>
  </bookViews>
  <sheets>
    <sheet name="CTC Kids Practice Information" sheetId="1" r:id="rId1"/>
    <sheet name="Practice Milestones" sheetId="2" r:id="rId2"/>
    <sheet name="Quality Measures" sheetId="3" r:id="rId3"/>
    <sheet name="CAHPS Measures" sheetId="4" r:id="rId4"/>
    <sheet name="Contract Adjudication Summary" sheetId="5" r:id="rId5"/>
    <sheet name="Cohort summaries" sheetId="8" r:id="rId6"/>
    <sheet name="Contract Adjudication Notes" sheetId="6" r:id="rId7"/>
    <sheet name="Sheet6" sheetId="7" r:id="rId8"/>
  </sheets>
  <definedNames>
    <definedName name="_xlnm._FilterDatabase" localSheetId="3" hidden="1">'CAHPS Measures'!$B$1:$Z$50</definedName>
    <definedName name="_xlnm._FilterDatabase" localSheetId="0" hidden="1">'CTC Kids Practice Information'!$A$1:$Q$1</definedName>
    <definedName name="_xlnm._FilterDatabase" localSheetId="1" hidden="1">'Practice Milestones'!$A$1:$N$1</definedName>
    <definedName name="_xlnm._FilterDatabase" localSheetId="2" hidden="1">'Quality Measures'!$A$1:$Q$76</definedName>
  </definedNames>
  <calcPr calcId="179017"/>
</workbook>
</file>

<file path=xl/calcChain.xml><?xml version="1.0" encoding="utf-8"?>
<calcChain xmlns="http://schemas.openxmlformats.org/spreadsheetml/2006/main">
  <c r="J37" i="4" l="1"/>
  <c r="Z4" i="4"/>
  <c r="Z6" i="4"/>
  <c r="Z8" i="4"/>
  <c r="Z10" i="4"/>
  <c r="Z12" i="4"/>
  <c r="Z14" i="4"/>
  <c r="Z16" i="4"/>
  <c r="Z18" i="4"/>
  <c r="Z19" i="4"/>
  <c r="Z20" i="4"/>
  <c r="Z21" i="4"/>
  <c r="G23" i="4"/>
  <c r="G24" i="4"/>
  <c r="G25" i="4"/>
  <c r="G26" i="4"/>
  <c r="G27" i="4"/>
  <c r="G4" i="4"/>
  <c r="G28" i="4"/>
  <c r="G6" i="4"/>
  <c r="G8" i="4"/>
  <c r="G10" i="4"/>
  <c r="G30" i="4"/>
  <c r="G12" i="4"/>
  <c r="G14" i="4"/>
  <c r="G31" i="4"/>
  <c r="G32" i="4"/>
  <c r="G16" i="4"/>
  <c r="G33" i="4"/>
  <c r="G18" i="4"/>
  <c r="G19" i="4"/>
  <c r="G20" i="4"/>
  <c r="G21" i="4"/>
  <c r="X8" i="4"/>
  <c r="Y8" i="4" s="1"/>
  <c r="U8" i="4"/>
  <c r="U10" i="4"/>
  <c r="O8" i="4"/>
  <c r="P8" i="4" s="1"/>
  <c r="L8" i="4"/>
  <c r="L10" i="4"/>
  <c r="L30" i="4"/>
  <c r="J8" i="4"/>
  <c r="K8" i="4" s="1"/>
  <c r="A8" i="4"/>
  <c r="X3" i="4"/>
  <c r="X23" i="4"/>
  <c r="Y23" i="4" s="1"/>
  <c r="X24" i="4"/>
  <c r="Y24" i="4" s="1"/>
  <c r="X25" i="4"/>
  <c r="Y25" i="4" s="1"/>
  <c r="X26" i="4"/>
  <c r="Y26" i="4" s="1"/>
  <c r="X27" i="4"/>
  <c r="Y27" i="4" s="1"/>
  <c r="X4" i="4"/>
  <c r="Y4" i="4" s="1"/>
  <c r="X5" i="4"/>
  <c r="X28" i="4"/>
  <c r="Y28" i="4" s="1"/>
  <c r="X6" i="4"/>
  <c r="Y6" i="4" s="1"/>
  <c r="X7" i="4"/>
  <c r="Y7" i="4" s="1"/>
  <c r="X29" i="4"/>
  <c r="X9" i="4"/>
  <c r="X10" i="4"/>
  <c r="Y10" i="4" s="1"/>
  <c r="X11" i="4"/>
  <c r="Y11" i="4" s="1"/>
  <c r="X30" i="4"/>
  <c r="X13" i="4"/>
  <c r="X12" i="4"/>
  <c r="Y12" i="4" s="1"/>
  <c r="X14" i="4"/>
  <c r="Y14" i="4" s="1"/>
  <c r="X15" i="4"/>
  <c r="X31" i="4"/>
  <c r="Y31" i="4" s="1"/>
  <c r="X32" i="4"/>
  <c r="Y32" i="4" s="1"/>
  <c r="X16" i="4"/>
  <c r="Y16" i="4" s="1"/>
  <c r="X17" i="4"/>
  <c r="Y17" i="4" s="1"/>
  <c r="X33" i="4"/>
  <c r="Y33" i="4" s="1"/>
  <c r="X18" i="4"/>
  <c r="X19" i="4"/>
  <c r="X20" i="4"/>
  <c r="Y20" i="4" s="1"/>
  <c r="X21" i="4"/>
  <c r="Y21" i="4" s="1"/>
  <c r="X22" i="4"/>
  <c r="O3" i="4"/>
  <c r="P3" i="4" s="1"/>
  <c r="O23" i="4"/>
  <c r="P23" i="4" s="1"/>
  <c r="O24" i="4"/>
  <c r="P24" i="4" s="1"/>
  <c r="O25" i="4"/>
  <c r="P25" i="4" s="1"/>
  <c r="O26" i="4"/>
  <c r="P26" i="4" s="1"/>
  <c r="O27" i="4"/>
  <c r="P27" i="4" s="1"/>
  <c r="O4" i="4"/>
  <c r="P4" i="4" s="1"/>
  <c r="O5" i="4"/>
  <c r="O28" i="4"/>
  <c r="P28" i="4" s="1"/>
  <c r="O6" i="4"/>
  <c r="P6" i="4" s="1"/>
  <c r="O7" i="4"/>
  <c r="P7" i="4" s="1"/>
  <c r="O29" i="4"/>
  <c r="O9" i="4"/>
  <c r="O10" i="4"/>
  <c r="P10" i="4" s="1"/>
  <c r="O11" i="4"/>
  <c r="P11" i="4" s="1"/>
  <c r="O30" i="4"/>
  <c r="P30" i="4" s="1"/>
  <c r="O13" i="4"/>
  <c r="O12" i="4"/>
  <c r="P12" i="4" s="1"/>
  <c r="O14" i="4"/>
  <c r="P14" i="4" s="1"/>
  <c r="O15" i="4"/>
  <c r="O31" i="4"/>
  <c r="P31" i="4" s="1"/>
  <c r="O32" i="4"/>
  <c r="P32" i="4" s="1"/>
  <c r="O16" i="4"/>
  <c r="P16" i="4" s="1"/>
  <c r="O17" i="4"/>
  <c r="P17" i="4" s="1"/>
  <c r="O33" i="4"/>
  <c r="P33" i="4" s="1"/>
  <c r="O18" i="4"/>
  <c r="O19" i="4"/>
  <c r="O20" i="4"/>
  <c r="P20" i="4" s="1"/>
  <c r="O21" i="4"/>
  <c r="P21" i="4" s="1"/>
  <c r="O22" i="4"/>
  <c r="J3" i="4"/>
  <c r="J23" i="4"/>
  <c r="K23" i="4" s="1"/>
  <c r="J24" i="4"/>
  <c r="K24" i="4" s="1"/>
  <c r="J25" i="4"/>
  <c r="K25" i="4" s="1"/>
  <c r="J26" i="4"/>
  <c r="K26" i="4" s="1"/>
  <c r="J27" i="4"/>
  <c r="K27" i="4" s="1"/>
  <c r="J4" i="4"/>
  <c r="K4" i="4" s="1"/>
  <c r="J5" i="4"/>
  <c r="K5" i="4" s="1"/>
  <c r="J28" i="4"/>
  <c r="K28" i="4" s="1"/>
  <c r="J6" i="4"/>
  <c r="K6" i="4" s="1"/>
  <c r="J7" i="4"/>
  <c r="K7" i="4" s="1"/>
  <c r="J29" i="4"/>
  <c r="K29" i="4" s="1"/>
  <c r="J9" i="4"/>
  <c r="J10" i="4"/>
  <c r="K10" i="4" s="1"/>
  <c r="J11" i="4"/>
  <c r="K11" i="4" s="1"/>
  <c r="J30" i="4"/>
  <c r="J13" i="4"/>
  <c r="J12" i="4"/>
  <c r="K12" i="4" s="1"/>
  <c r="J14" i="4"/>
  <c r="K14" i="4" s="1"/>
  <c r="J15" i="4"/>
  <c r="J31" i="4"/>
  <c r="K31" i="4" s="1"/>
  <c r="J32" i="4"/>
  <c r="K32" i="4" s="1"/>
  <c r="J16" i="4"/>
  <c r="K16" i="4" s="1"/>
  <c r="J17" i="4"/>
  <c r="K17" i="4" s="1"/>
  <c r="J33" i="4"/>
  <c r="K33" i="4" s="1"/>
  <c r="J18" i="4"/>
  <c r="J19" i="4"/>
  <c r="J20" i="4"/>
  <c r="K20" i="4" s="1"/>
  <c r="J21" i="4"/>
  <c r="K21" i="4" s="1"/>
  <c r="U23" i="4"/>
  <c r="U24" i="4"/>
  <c r="U25" i="4"/>
  <c r="U26" i="4"/>
  <c r="U27" i="4"/>
  <c r="U4" i="4"/>
  <c r="U28" i="4"/>
  <c r="U6" i="4"/>
  <c r="U30" i="4"/>
  <c r="U12" i="4"/>
  <c r="U14" i="4"/>
  <c r="U31" i="4"/>
  <c r="U32" i="4"/>
  <c r="U33" i="4"/>
  <c r="U20" i="4"/>
  <c r="U21" i="4"/>
  <c r="L23" i="4"/>
  <c r="L24" i="4"/>
  <c r="L25" i="4"/>
  <c r="L26" i="4"/>
  <c r="L27" i="4"/>
  <c r="L4" i="4"/>
  <c r="L28" i="4"/>
  <c r="L6" i="4"/>
  <c r="L12" i="4"/>
  <c r="L14" i="4"/>
  <c r="L31" i="4"/>
  <c r="L32" i="4"/>
  <c r="L33" i="4"/>
  <c r="L20" i="4"/>
  <c r="L21" i="4"/>
  <c r="A6" i="4"/>
  <c r="J22" i="4"/>
  <c r="A5" i="4"/>
  <c r="Z33" i="4" l="1"/>
  <c r="Z25" i="4"/>
  <c r="Z32" i="4"/>
  <c r="Z23" i="4"/>
  <c r="Z31" i="4"/>
  <c r="Z28" i="4"/>
  <c r="Z27" i="4"/>
  <c r="Z24" i="4"/>
  <c r="Z26" i="4"/>
  <c r="Y30" i="4"/>
  <c r="K30" i="4"/>
  <c r="Z30" i="4" s="1"/>
  <c r="O3" i="3"/>
  <c r="O5" i="3"/>
  <c r="O4" i="3"/>
  <c r="O48" i="3"/>
  <c r="O47" i="3"/>
  <c r="O49" i="3"/>
  <c r="O50" i="3"/>
  <c r="O51" i="3"/>
  <c r="O52" i="3"/>
  <c r="O53" i="3"/>
  <c r="O54" i="3"/>
  <c r="O55" i="3"/>
  <c r="O7" i="3"/>
  <c r="O10" i="3"/>
  <c r="O8" i="3"/>
  <c r="O9" i="3"/>
  <c r="O56" i="3"/>
  <c r="O57" i="3"/>
  <c r="O12" i="3"/>
  <c r="O15" i="3"/>
  <c r="O13" i="3"/>
  <c r="O14" i="3"/>
  <c r="O58" i="3"/>
  <c r="O59" i="3"/>
  <c r="O17" i="3"/>
  <c r="O20" i="3"/>
  <c r="O18" i="3"/>
  <c r="O19" i="3"/>
  <c r="O22" i="3"/>
  <c r="O25" i="3"/>
  <c r="O23" i="3"/>
  <c r="O24" i="3"/>
  <c r="O61" i="3"/>
  <c r="O60" i="3"/>
  <c r="O27" i="3"/>
  <c r="O30" i="3"/>
  <c r="O28" i="3"/>
  <c r="O29" i="3"/>
  <c r="O32" i="3"/>
  <c r="O35" i="3"/>
  <c r="O33" i="3"/>
  <c r="O34" i="3"/>
  <c r="O63" i="3"/>
  <c r="O62" i="3"/>
  <c r="O64" i="3"/>
  <c r="O65" i="3"/>
  <c r="O37" i="3"/>
  <c r="O40" i="3"/>
  <c r="O38" i="3"/>
  <c r="O39" i="3"/>
  <c r="O66" i="3"/>
  <c r="O67" i="3"/>
  <c r="O43" i="3"/>
  <c r="O42" i="3"/>
  <c r="O44" i="3"/>
  <c r="O45" i="3"/>
  <c r="O2" i="3"/>
  <c r="J2" i="3"/>
  <c r="J48" i="3"/>
  <c r="J45" i="3"/>
  <c r="J44" i="3"/>
  <c r="J42" i="3"/>
  <c r="J43" i="3"/>
  <c r="J67" i="3"/>
  <c r="J66" i="3"/>
  <c r="J39" i="3"/>
  <c r="J38" i="3"/>
  <c r="J40" i="3"/>
  <c r="J37" i="3"/>
  <c r="J65" i="3"/>
  <c r="J64" i="3"/>
  <c r="J62" i="3"/>
  <c r="J63" i="3"/>
  <c r="J34" i="3"/>
  <c r="J33" i="3"/>
  <c r="J35" i="3"/>
  <c r="J32" i="3"/>
  <c r="J29" i="3"/>
  <c r="J28" i="3"/>
  <c r="J30" i="3"/>
  <c r="J27" i="3"/>
  <c r="J60" i="3"/>
  <c r="J61" i="3"/>
  <c r="J24" i="3"/>
  <c r="J23" i="3"/>
  <c r="J25" i="3"/>
  <c r="J22" i="3"/>
  <c r="J19" i="3"/>
  <c r="J18" i="3"/>
  <c r="J20" i="3"/>
  <c r="J17" i="3"/>
  <c r="J59" i="3"/>
  <c r="J58" i="3"/>
  <c r="J14" i="3"/>
  <c r="J13" i="3"/>
  <c r="J15" i="3"/>
  <c r="J12" i="3"/>
  <c r="J57" i="3"/>
  <c r="J56" i="3"/>
  <c r="J9" i="3"/>
  <c r="J8" i="3"/>
  <c r="J10" i="3"/>
  <c r="J7" i="3"/>
  <c r="J55" i="3"/>
  <c r="J54" i="3"/>
  <c r="J53" i="3"/>
  <c r="J52" i="3"/>
  <c r="J51" i="3"/>
  <c r="J50" i="3"/>
  <c r="J49" i="3"/>
  <c r="J47" i="3"/>
  <c r="J4" i="3"/>
  <c r="J5" i="3"/>
  <c r="J3" i="3"/>
  <c r="C38" i="4" l="1"/>
  <c r="C40" i="4"/>
  <c r="C39" i="4"/>
  <c r="X77" i="8"/>
  <c r="Y77" i="8"/>
  <c r="V76" i="8"/>
  <c r="W76" i="8"/>
  <c r="X76" i="8"/>
  <c r="Y76" i="8"/>
  <c r="U76" i="8"/>
  <c r="O77" i="8"/>
  <c r="P77" i="8"/>
  <c r="M76" i="8"/>
  <c r="N76" i="8"/>
  <c r="O76" i="8"/>
  <c r="P76" i="8"/>
  <c r="L76" i="8"/>
  <c r="F77" i="8"/>
  <c r="G77" i="8"/>
  <c r="D76" i="8"/>
  <c r="E76" i="8"/>
  <c r="F76" i="8"/>
  <c r="G76" i="8"/>
  <c r="C76" i="8"/>
  <c r="M55" i="8"/>
  <c r="N55" i="8"/>
  <c r="O55" i="8"/>
  <c r="P55" i="8"/>
  <c r="L55" i="8"/>
  <c r="M54" i="8"/>
  <c r="N54" i="8"/>
  <c r="O54" i="8"/>
  <c r="P54" i="8"/>
  <c r="L54" i="8"/>
  <c r="D55" i="8"/>
  <c r="E55" i="8"/>
  <c r="F55" i="8"/>
  <c r="G55" i="8"/>
  <c r="C55" i="8"/>
  <c r="D54" i="8"/>
  <c r="E54" i="8"/>
  <c r="F54" i="8"/>
  <c r="G54" i="8"/>
  <c r="C54" i="8"/>
  <c r="X29" i="8"/>
  <c r="Y29" i="8"/>
  <c r="V28" i="8"/>
  <c r="W28" i="8"/>
  <c r="X28" i="8"/>
  <c r="Y28" i="8"/>
  <c r="U28" i="8"/>
  <c r="O29" i="8"/>
  <c r="P29" i="8"/>
  <c r="M28" i="8"/>
  <c r="N28" i="8"/>
  <c r="O28" i="8"/>
  <c r="P28" i="8"/>
  <c r="L28" i="8"/>
  <c r="F29" i="8"/>
  <c r="G29" i="8"/>
  <c r="D28" i="8"/>
  <c r="E28" i="8"/>
  <c r="F28" i="8"/>
  <c r="G28" i="8"/>
  <c r="C28" i="8"/>
  <c r="O6" i="8"/>
  <c r="N6" i="8"/>
  <c r="L5" i="8"/>
  <c r="M5" i="8"/>
  <c r="N5" i="8"/>
  <c r="O5" i="8"/>
  <c r="K5" i="8"/>
  <c r="F6" i="8"/>
  <c r="G6" i="8"/>
  <c r="D5" i="8"/>
  <c r="E5" i="8"/>
  <c r="F5" i="8"/>
  <c r="G5" i="8"/>
  <c r="C5" i="8"/>
  <c r="I73" i="3"/>
  <c r="I72" i="3"/>
  <c r="I71" i="3"/>
  <c r="U2" i="4"/>
  <c r="Z2" i="4"/>
  <c r="X2" i="4"/>
  <c r="Y2" i="4" s="1"/>
  <c r="L2" i="4"/>
  <c r="O2" i="4"/>
  <c r="P2" i="4" s="1"/>
  <c r="J2" i="4"/>
  <c r="K2" i="4" s="1"/>
  <c r="G2" i="4"/>
  <c r="Q3" i="3"/>
  <c r="Q5" i="3"/>
  <c r="Q4" i="3"/>
  <c r="Q47" i="3"/>
  <c r="Q50" i="3"/>
  <c r="Q52" i="3"/>
  <c r="Q54" i="3"/>
  <c r="Q7" i="3"/>
  <c r="Q10" i="3"/>
  <c r="Q8" i="3"/>
  <c r="Q9" i="3"/>
  <c r="Q56" i="3"/>
  <c r="Q12" i="3"/>
  <c r="Q15" i="3"/>
  <c r="Q13" i="3"/>
  <c r="Q14" i="3"/>
  <c r="Q58" i="3"/>
  <c r="Q17" i="3"/>
  <c r="Q20" i="3"/>
  <c r="Q18" i="3"/>
  <c r="Q19" i="3"/>
  <c r="Q22" i="3"/>
  <c r="Q25" i="3"/>
  <c r="Q23" i="3"/>
  <c r="Q24" i="3"/>
  <c r="Q60" i="3"/>
  <c r="Q27" i="3"/>
  <c r="Q30" i="3"/>
  <c r="Q28" i="3"/>
  <c r="Q29" i="3"/>
  <c r="Q32" i="3"/>
  <c r="Q35" i="3"/>
  <c r="Q33" i="3"/>
  <c r="Q34" i="3"/>
  <c r="Q62" i="3"/>
  <c r="Q64" i="3"/>
  <c r="Q37" i="3"/>
  <c r="Q40" i="3"/>
  <c r="Q38" i="3"/>
  <c r="Q39" i="3"/>
  <c r="Q66" i="3"/>
  <c r="Q43" i="3"/>
  <c r="Q42" i="3"/>
  <c r="Q44" i="3"/>
  <c r="Q45" i="3"/>
  <c r="Q2" i="3"/>
  <c r="N3" i="3"/>
  <c r="P3" i="3" s="1"/>
  <c r="N5" i="3"/>
  <c r="P5" i="3" s="1"/>
  <c r="N4" i="3"/>
  <c r="P4" i="3" s="1"/>
  <c r="N6" i="3"/>
  <c r="N48" i="3"/>
  <c r="P48" i="3" s="1"/>
  <c r="N47" i="3"/>
  <c r="P47" i="3" s="1"/>
  <c r="N49" i="3"/>
  <c r="P49" i="3" s="1"/>
  <c r="N50" i="3"/>
  <c r="P50" i="3" s="1"/>
  <c r="N51" i="3"/>
  <c r="P51" i="3" s="1"/>
  <c r="N52" i="3"/>
  <c r="P52" i="3" s="1"/>
  <c r="N53" i="3"/>
  <c r="P53" i="3" s="1"/>
  <c r="N54" i="3"/>
  <c r="P54" i="3" s="1"/>
  <c r="N55" i="3"/>
  <c r="P55" i="3" s="1"/>
  <c r="N7" i="3"/>
  <c r="P7" i="3" s="1"/>
  <c r="N10" i="3"/>
  <c r="P10" i="3" s="1"/>
  <c r="N11" i="3"/>
  <c r="P11" i="3" s="1"/>
  <c r="N8" i="3"/>
  <c r="P8" i="3" s="1"/>
  <c r="N9" i="3"/>
  <c r="P9" i="3" s="1"/>
  <c r="N56" i="3"/>
  <c r="P56" i="3" s="1"/>
  <c r="N57" i="3"/>
  <c r="P57" i="3" s="1"/>
  <c r="N12" i="3"/>
  <c r="P12" i="3" s="1"/>
  <c r="N15" i="3"/>
  <c r="P15" i="3" s="1"/>
  <c r="N13" i="3"/>
  <c r="P13" i="3" s="1"/>
  <c r="N14" i="3"/>
  <c r="P14" i="3" s="1"/>
  <c r="N16" i="3"/>
  <c r="P16" i="3" s="1"/>
  <c r="N58" i="3"/>
  <c r="P58" i="3" s="1"/>
  <c r="N59" i="3"/>
  <c r="P59" i="3" s="1"/>
  <c r="N17" i="3"/>
  <c r="P17" i="3" s="1"/>
  <c r="N21" i="3"/>
  <c r="P21" i="3" s="1"/>
  <c r="N20" i="3"/>
  <c r="P20" i="3" s="1"/>
  <c r="N18" i="3"/>
  <c r="P18" i="3" s="1"/>
  <c r="N19" i="3"/>
  <c r="P19" i="3" s="1"/>
  <c r="N22" i="3"/>
  <c r="P22" i="3" s="1"/>
  <c r="N26" i="3"/>
  <c r="P26" i="3" s="1"/>
  <c r="N25" i="3"/>
  <c r="P25" i="3" s="1"/>
  <c r="N23" i="3"/>
  <c r="P23" i="3" s="1"/>
  <c r="N24" i="3"/>
  <c r="P24" i="3" s="1"/>
  <c r="N61" i="3"/>
  <c r="P61" i="3" s="1"/>
  <c r="N60" i="3"/>
  <c r="P60" i="3" s="1"/>
  <c r="N27" i="3"/>
  <c r="P27" i="3" s="1"/>
  <c r="N30" i="3"/>
  <c r="P30" i="3" s="1"/>
  <c r="N28" i="3"/>
  <c r="P28" i="3" s="1"/>
  <c r="N29" i="3"/>
  <c r="P29" i="3" s="1"/>
  <c r="N31" i="3"/>
  <c r="P31" i="3" s="1"/>
  <c r="N32" i="3"/>
  <c r="P32" i="3" s="1"/>
  <c r="N35" i="3"/>
  <c r="P35" i="3" s="1"/>
  <c r="N33" i="3"/>
  <c r="P33" i="3" s="1"/>
  <c r="N34" i="3"/>
  <c r="P34" i="3" s="1"/>
  <c r="N36" i="3"/>
  <c r="N63" i="3"/>
  <c r="P63" i="3" s="1"/>
  <c r="N62" i="3"/>
  <c r="P62" i="3" s="1"/>
  <c r="N64" i="3"/>
  <c r="P64" i="3" s="1"/>
  <c r="N65" i="3"/>
  <c r="P65" i="3" s="1"/>
  <c r="N37" i="3"/>
  <c r="P37" i="3" s="1"/>
  <c r="N40" i="3"/>
  <c r="P40" i="3" s="1"/>
  <c r="N38" i="3"/>
  <c r="P38" i="3" s="1"/>
  <c r="N39" i="3"/>
  <c r="P39" i="3" s="1"/>
  <c r="N41" i="3"/>
  <c r="P41" i="3" s="1"/>
  <c r="N66" i="3"/>
  <c r="P66" i="3" s="1"/>
  <c r="N67" i="3"/>
  <c r="P67" i="3" s="1"/>
  <c r="N43" i="3"/>
  <c r="P43" i="3" s="1"/>
  <c r="N42" i="3"/>
  <c r="P42" i="3" s="1"/>
  <c r="N44" i="3"/>
  <c r="P44" i="3" s="1"/>
  <c r="N45" i="3"/>
  <c r="P45" i="3" s="1"/>
  <c r="N46" i="3"/>
  <c r="P46" i="3" s="1"/>
  <c r="N2" i="3"/>
  <c r="P2" i="3" s="1"/>
  <c r="I3" i="3"/>
  <c r="K3" i="3" s="1"/>
  <c r="I5" i="3"/>
  <c r="K5" i="3" s="1"/>
  <c r="I4" i="3"/>
  <c r="K4" i="3" s="1"/>
  <c r="I6" i="3"/>
  <c r="I48" i="3"/>
  <c r="K48" i="3" s="1"/>
  <c r="I47" i="3"/>
  <c r="K47" i="3" s="1"/>
  <c r="I49" i="3"/>
  <c r="I50" i="3"/>
  <c r="K50" i="3" s="1"/>
  <c r="I51" i="3"/>
  <c r="K51" i="3" s="1"/>
  <c r="I52" i="3"/>
  <c r="K52" i="3" s="1"/>
  <c r="I53" i="3"/>
  <c r="K53" i="3" s="1"/>
  <c r="I54" i="3"/>
  <c r="K54" i="3" s="1"/>
  <c r="I55" i="3"/>
  <c r="K55" i="3" s="1"/>
  <c r="I7" i="3"/>
  <c r="K7" i="3" s="1"/>
  <c r="I10" i="3"/>
  <c r="K10" i="3" s="1"/>
  <c r="I11" i="3"/>
  <c r="K11" i="3" s="1"/>
  <c r="I8" i="3"/>
  <c r="K8" i="3" s="1"/>
  <c r="I9" i="3"/>
  <c r="K9" i="3" s="1"/>
  <c r="I56" i="3"/>
  <c r="K56" i="3" s="1"/>
  <c r="I57" i="3"/>
  <c r="K57" i="3" s="1"/>
  <c r="I12" i="3"/>
  <c r="K12" i="3" s="1"/>
  <c r="I15" i="3"/>
  <c r="K15" i="3" s="1"/>
  <c r="I13" i="3"/>
  <c r="K13" i="3" s="1"/>
  <c r="I14" i="3"/>
  <c r="K14" i="3" s="1"/>
  <c r="I16" i="3"/>
  <c r="K16" i="3" s="1"/>
  <c r="I58" i="3"/>
  <c r="K58" i="3" s="1"/>
  <c r="I59" i="3"/>
  <c r="I17" i="3"/>
  <c r="K17" i="3" s="1"/>
  <c r="I21" i="3"/>
  <c r="I20" i="3"/>
  <c r="K20" i="3" s="1"/>
  <c r="I18" i="3"/>
  <c r="K18" i="3" s="1"/>
  <c r="I19" i="3"/>
  <c r="K19" i="3" s="1"/>
  <c r="I22" i="3"/>
  <c r="K22" i="3" s="1"/>
  <c r="I26" i="3"/>
  <c r="K26" i="3" s="1"/>
  <c r="I25" i="3"/>
  <c r="K25" i="3" s="1"/>
  <c r="I23" i="3"/>
  <c r="K23" i="3" s="1"/>
  <c r="I24" i="3"/>
  <c r="K24" i="3" s="1"/>
  <c r="I61" i="3"/>
  <c r="K61" i="3" s="1"/>
  <c r="I60" i="3"/>
  <c r="K60" i="3" s="1"/>
  <c r="I27" i="3"/>
  <c r="K27" i="3" s="1"/>
  <c r="I30" i="3"/>
  <c r="K30" i="3" s="1"/>
  <c r="I28" i="3"/>
  <c r="K28" i="3" s="1"/>
  <c r="I29" i="3"/>
  <c r="K29" i="3" s="1"/>
  <c r="I31" i="3"/>
  <c r="I32" i="3"/>
  <c r="K32" i="3" s="1"/>
  <c r="I35" i="3"/>
  <c r="K35" i="3" s="1"/>
  <c r="I33" i="3"/>
  <c r="K33" i="3" s="1"/>
  <c r="I34" i="3"/>
  <c r="K34" i="3" s="1"/>
  <c r="I36" i="3"/>
  <c r="K36" i="3" s="1"/>
  <c r="I63" i="3"/>
  <c r="K63" i="3" s="1"/>
  <c r="I62" i="3"/>
  <c r="K62" i="3" s="1"/>
  <c r="I64" i="3"/>
  <c r="K64" i="3" s="1"/>
  <c r="I65" i="3"/>
  <c r="K65" i="3" s="1"/>
  <c r="I37" i="3"/>
  <c r="K37" i="3" s="1"/>
  <c r="I40" i="3"/>
  <c r="K40" i="3" s="1"/>
  <c r="I38" i="3"/>
  <c r="K38" i="3" s="1"/>
  <c r="I39" i="3"/>
  <c r="K39" i="3" s="1"/>
  <c r="I41" i="3"/>
  <c r="K41" i="3" s="1"/>
  <c r="I66" i="3"/>
  <c r="K66" i="3" s="1"/>
  <c r="I67" i="3"/>
  <c r="K67" i="3" s="1"/>
  <c r="I43" i="3"/>
  <c r="K43" i="3" s="1"/>
  <c r="I42" i="3"/>
  <c r="K42" i="3" s="1"/>
  <c r="I44" i="3"/>
  <c r="K44" i="3" s="1"/>
  <c r="I45" i="3"/>
  <c r="K45" i="3" s="1"/>
  <c r="I46" i="3"/>
  <c r="K46" i="3" s="1"/>
  <c r="I2" i="3"/>
  <c r="K2" i="3" s="1"/>
  <c r="O37" i="4" l="1"/>
  <c r="X37" i="4"/>
  <c r="I70" i="3"/>
  <c r="N70" i="3"/>
  <c r="K6" i="3"/>
  <c r="A3" i="4" l="1"/>
  <c r="A23" i="4"/>
  <c r="A24" i="4"/>
  <c r="A25" i="4"/>
  <c r="A26" i="4"/>
  <c r="A27" i="4"/>
  <c r="A4" i="4"/>
  <c r="A28" i="4"/>
  <c r="A7" i="4"/>
  <c r="A29" i="4"/>
  <c r="A9" i="4"/>
  <c r="A10" i="4"/>
  <c r="A11" i="4"/>
  <c r="A30" i="4"/>
  <c r="A13" i="4"/>
  <c r="A12" i="4"/>
  <c r="A14" i="4"/>
  <c r="A15" i="4"/>
  <c r="A31" i="4"/>
  <c r="A32" i="4"/>
  <c r="A16" i="4"/>
  <c r="A17" i="4"/>
  <c r="A33" i="4"/>
  <c r="A18" i="4"/>
  <c r="A19" i="4"/>
  <c r="A20" i="4"/>
  <c r="A21" i="4"/>
  <c r="A22" i="4"/>
  <c r="A2" i="4"/>
  <c r="G3" i="4" s="1"/>
  <c r="G13" i="4" l="1"/>
  <c r="G7" i="4"/>
  <c r="G15" i="4"/>
  <c r="K15" i="4" s="1"/>
  <c r="G11" i="4"/>
  <c r="G5" i="4"/>
  <c r="G17" i="4"/>
  <c r="G9" i="4"/>
  <c r="K9" i="4" s="1"/>
  <c r="G29" i="4"/>
  <c r="G22" i="4"/>
  <c r="K22" i="4" s="1"/>
  <c r="U11" i="4"/>
  <c r="L11" i="4"/>
  <c r="U9" i="4"/>
  <c r="Y9" i="4" s="1"/>
  <c r="L9" i="4"/>
  <c r="P9" i="4" s="1"/>
  <c r="U22" i="4"/>
  <c r="Y22" i="4" s="1"/>
  <c r="L22" i="4"/>
  <c r="P22" i="4" s="1"/>
  <c r="U3" i="4"/>
  <c r="Y3" i="4" s="1"/>
  <c r="L3" i="4"/>
  <c r="K3" i="4"/>
  <c r="U18" i="4"/>
  <c r="Y18" i="4" s="1"/>
  <c r="L29" i="4"/>
  <c r="L15" i="4"/>
  <c r="P15" i="4" s="1"/>
  <c r="U29" i="4"/>
  <c r="Y29" i="4" s="1"/>
  <c r="L5" i="4"/>
  <c r="U16" i="4"/>
  <c r="L13" i="4"/>
  <c r="P13" i="4" s="1"/>
  <c r="U17" i="4"/>
  <c r="L18" i="4"/>
  <c r="P18" i="4" s="1"/>
  <c r="U13" i="4"/>
  <c r="Y13" i="4" s="1"/>
  <c r="L7" i="4"/>
  <c r="U7" i="4"/>
  <c r="U19" i="4"/>
  <c r="Y19" i="4" s="1"/>
  <c r="U15" i="4"/>
  <c r="Y15" i="4" s="1"/>
  <c r="K19" i="4"/>
  <c r="L16" i="4"/>
  <c r="K13" i="4"/>
  <c r="L17" i="4"/>
  <c r="K18" i="4"/>
  <c r="U5" i="4"/>
  <c r="Y5" i="4" s="1"/>
  <c r="L19" i="4"/>
  <c r="P19" i="4" s="1"/>
  <c r="O76" i="3"/>
  <c r="P76" i="3" s="1"/>
  <c r="A76" i="3"/>
  <c r="O75" i="3"/>
  <c r="P75" i="3" s="1"/>
  <c r="A75" i="3"/>
  <c r="O74" i="3"/>
  <c r="A74" i="3"/>
  <c r="O73" i="3"/>
  <c r="A73" i="3"/>
  <c r="O72" i="3"/>
  <c r="A72" i="3"/>
  <c r="O71" i="3"/>
  <c r="P71" i="3" s="1"/>
  <c r="A71" i="3"/>
  <c r="A70" i="3"/>
  <c r="A69" i="3"/>
  <c r="A68" i="3"/>
  <c r="A46" i="3"/>
  <c r="A45" i="3"/>
  <c r="A44" i="3"/>
  <c r="A42" i="3"/>
  <c r="A43" i="3"/>
  <c r="A67" i="3"/>
  <c r="A66" i="3"/>
  <c r="A41" i="3"/>
  <c r="A39" i="3"/>
  <c r="A38" i="3"/>
  <c r="A40" i="3"/>
  <c r="A37" i="3"/>
  <c r="A65" i="3"/>
  <c r="A64" i="3"/>
  <c r="A62" i="3"/>
  <c r="A63" i="3"/>
  <c r="A36" i="3"/>
  <c r="A34" i="3"/>
  <c r="A33" i="3"/>
  <c r="A35" i="3"/>
  <c r="A32" i="3"/>
  <c r="A31" i="3"/>
  <c r="A29" i="3"/>
  <c r="A28" i="3"/>
  <c r="A30" i="3"/>
  <c r="A27" i="3"/>
  <c r="A60" i="3"/>
  <c r="A61" i="3"/>
  <c r="A24" i="3"/>
  <c r="A23" i="3"/>
  <c r="A25" i="3"/>
  <c r="A26" i="3"/>
  <c r="A22" i="3"/>
  <c r="A19" i="3"/>
  <c r="A18" i="3"/>
  <c r="A20" i="3"/>
  <c r="A21" i="3"/>
  <c r="A17" i="3"/>
  <c r="A59" i="3"/>
  <c r="A58" i="3"/>
  <c r="A16" i="3"/>
  <c r="A14" i="3"/>
  <c r="A13" i="3"/>
  <c r="A15" i="3"/>
  <c r="A12" i="3"/>
  <c r="A57" i="3"/>
  <c r="A56" i="3"/>
  <c r="A9" i="3"/>
  <c r="A8" i="3"/>
  <c r="A11" i="3"/>
  <c r="A10" i="3"/>
  <c r="A7" i="3"/>
  <c r="A55" i="3"/>
  <c r="A54" i="3"/>
  <c r="A53" i="3"/>
  <c r="A52" i="3"/>
  <c r="A51" i="3"/>
  <c r="A50" i="3"/>
  <c r="A49" i="3"/>
  <c r="A47" i="3"/>
  <c r="A48" i="3"/>
  <c r="A6" i="3"/>
  <c r="A4" i="3"/>
  <c r="A5" i="3"/>
  <c r="A3" i="3"/>
  <c r="A2" i="3"/>
  <c r="Z3" i="4" l="1"/>
  <c r="Z15" i="4"/>
  <c r="Z9" i="4"/>
  <c r="Z7" i="4"/>
  <c r="Z17" i="4"/>
  <c r="Z13" i="4"/>
  <c r="Z11" i="4"/>
  <c r="Z22" i="4"/>
  <c r="P5" i="4"/>
  <c r="Z5" i="4" s="1"/>
  <c r="P29" i="4"/>
  <c r="Z29" i="4" s="1"/>
  <c r="O16" i="3"/>
  <c r="O36" i="3"/>
  <c r="P36" i="3" s="1"/>
  <c r="Q36" i="3" s="1"/>
  <c r="O46" i="3"/>
  <c r="J21" i="3"/>
  <c r="J6" i="3"/>
  <c r="O26" i="3"/>
  <c r="O41" i="3"/>
  <c r="J31" i="3"/>
  <c r="J36" i="3"/>
  <c r="O6" i="3"/>
  <c r="P6" i="3" s="1"/>
  <c r="O31" i="3"/>
  <c r="J41" i="3"/>
  <c r="J26" i="3"/>
  <c r="O21" i="3"/>
  <c r="J46" i="3"/>
  <c r="J16" i="3"/>
  <c r="J11" i="3"/>
  <c r="O11" i="3"/>
  <c r="Q11" i="3" s="1"/>
  <c r="Q57" i="3"/>
  <c r="Q67" i="3"/>
  <c r="Q53" i="3"/>
  <c r="Q65" i="3"/>
  <c r="Q61" i="3"/>
  <c r="Q51" i="3"/>
  <c r="Q41" i="3" l="1"/>
  <c r="P37" i="4"/>
  <c r="L97" i="8" s="1"/>
  <c r="L98" i="8" s="1"/>
  <c r="Q16" i="3"/>
  <c r="Y37" i="4"/>
  <c r="M97" i="8" s="1"/>
  <c r="M98" i="8" s="1"/>
  <c r="Q46" i="3"/>
  <c r="P70" i="3"/>
  <c r="D97" i="8" s="1"/>
  <c r="D98" i="8" s="1"/>
  <c r="Q6" i="3"/>
  <c r="Q26" i="3"/>
  <c r="K59" i="3"/>
  <c r="Q59" i="3" s="1"/>
  <c r="K49" i="3"/>
  <c r="Q49" i="3" s="1"/>
  <c r="K21" i="3"/>
  <c r="Q21" i="3" s="1"/>
  <c r="K31" i="3"/>
  <c r="Q31" i="3" s="1"/>
  <c r="Q55" i="3"/>
  <c r="Q63" i="3"/>
  <c r="Q48" i="3"/>
  <c r="K37" i="4"/>
  <c r="K97" i="8" s="1"/>
  <c r="K98" i="8" s="1"/>
  <c r="Z38" i="4"/>
  <c r="Q72" i="3" l="1"/>
  <c r="E97" i="8" s="1"/>
  <c r="K70" i="3"/>
  <c r="C97" i="8" s="1"/>
  <c r="C98" i="8" s="1"/>
  <c r="Q73" i="3"/>
  <c r="F97" i="8" s="1"/>
  <c r="Q74" i="3"/>
  <c r="G97" i="8"/>
  <c r="G98" i="8" s="1"/>
  <c r="N97" i="8"/>
  <c r="N98" i="8" s="1"/>
</calcChain>
</file>

<file path=xl/sharedStrings.xml><?xml version="1.0" encoding="utf-8"?>
<sst xmlns="http://schemas.openxmlformats.org/spreadsheetml/2006/main" count="3237" uniqueCount="616">
  <si>
    <t>Billing Street</t>
  </si>
  <si>
    <t>Billing City</t>
  </si>
  <si>
    <t>Billing State/Province</t>
  </si>
  <si>
    <t>Start Date</t>
  </si>
  <si>
    <t>EHR</t>
  </si>
  <si>
    <t>Practice Facilitator(s)</t>
  </si>
  <si>
    <t>Current Dev Contract Stage</t>
  </si>
  <si>
    <t>CTC PCMH Cohort</t>
  </si>
  <si>
    <t>50% or More Medicaid</t>
  </si>
  <si>
    <t>Contact: First Name</t>
  </si>
  <si>
    <t>Contact: Last Name</t>
  </si>
  <si>
    <t>Role</t>
  </si>
  <si>
    <t>Contact: Email</t>
  </si>
  <si>
    <t>Phone</t>
  </si>
  <si>
    <t>Account Name</t>
  </si>
  <si>
    <t>60 Bay Spring, Unit 6B</t>
  </si>
  <si>
    <t>Barrington</t>
  </si>
  <si>
    <t>ECW V10</t>
  </si>
  <si>
    <t>Performance 1</t>
  </si>
  <si>
    <t>2</t>
  </si>
  <si>
    <t>No</t>
  </si>
  <si>
    <t>Erin</t>
  </si>
  <si>
    <t>Gill</t>
  </si>
  <si>
    <t>Nurse Care Manager</t>
  </si>
  <si>
    <t>erin_gill@verizon.net</t>
  </si>
  <si>
    <t>Barrington Family Medicine</t>
  </si>
  <si>
    <t>RI</t>
  </si>
  <si>
    <t>Start Up</t>
  </si>
  <si>
    <t>Suzanne Herzberg</t>
  </si>
  <si>
    <t>Yes</t>
  </si>
  <si>
    <t>Performance 2</t>
  </si>
  <si>
    <t>Lincoln</t>
  </si>
  <si>
    <t>Providence</t>
  </si>
  <si>
    <t>Transition</t>
  </si>
  <si>
    <t>Putney Pyles</t>
  </si>
  <si>
    <t>Copyright (c) 2000-2018 salesforce.com, inc. All rights reserved.</t>
  </si>
  <si>
    <t>Confidential Information - Do Not Distribute</t>
  </si>
  <si>
    <t>CTC-RI</t>
  </si>
  <si>
    <t>Budget</t>
  </si>
  <si>
    <t>Coordinator or Manager Hired</t>
  </si>
  <si>
    <t>NCQA Level</t>
  </si>
  <si>
    <t>NCQA Expiration</t>
  </si>
  <si>
    <t>Provide After Hour Care</t>
  </si>
  <si>
    <t>Outpatient Transition of Care</t>
  </si>
  <si>
    <t>Entry Cohort</t>
  </si>
  <si>
    <t>N/A</t>
  </si>
  <si>
    <t>L3 2011</t>
  </si>
  <si>
    <t>L3 2014</t>
  </si>
  <si>
    <t>1</t>
  </si>
  <si>
    <t>2015</t>
  </si>
  <si>
    <t>2017</t>
  </si>
  <si>
    <t>Opportunity Record Type</t>
  </si>
  <si>
    <t>Year-Quarter</t>
  </si>
  <si>
    <t>BMI (New Measure) Actual</t>
  </si>
  <si>
    <t>2017-Q1</t>
  </si>
  <si>
    <t>2017-Q2</t>
  </si>
  <si>
    <t>2017-Q3</t>
  </si>
  <si>
    <t>2017-Q4</t>
  </si>
  <si>
    <t>2018-Q1</t>
  </si>
  <si>
    <t>Year</t>
  </si>
  <si>
    <t>Access Actual</t>
  </si>
  <si>
    <t>Communication Actual</t>
  </si>
  <si>
    <t>Communication Target</t>
  </si>
  <si>
    <t>Shared Decision Making Actual</t>
  </si>
  <si>
    <t>Shared Decision Making Target</t>
  </si>
  <si>
    <t>Self Management Actual</t>
  </si>
  <si>
    <t>Self Management Target</t>
  </si>
  <si>
    <t>Office Staff Actual</t>
  </si>
  <si>
    <t>Office Staff Target</t>
  </si>
  <si>
    <t>2016</t>
  </si>
  <si>
    <t>Vlookup key</t>
  </si>
  <si>
    <t>Concat Account Name &amp; YrQtr</t>
  </si>
  <si>
    <t>2017-Q1 Actual</t>
  </si>
  <si>
    <t>BMI Met Threshold (Method 1)</t>
  </si>
  <si>
    <t>Met Access Target Method 1</t>
  </si>
  <si>
    <t>2017 Communication Actual</t>
  </si>
  <si>
    <t>2017 Access Actual</t>
  </si>
  <si>
    <t>2017 Office Staff Actual</t>
  </si>
  <si>
    <t>Met Office Staff Target Method 1 (regardless of Access)</t>
  </si>
  <si>
    <t>Primary Contact</t>
  </si>
  <si>
    <t>1 Commerce Street, Suite 100</t>
  </si>
  <si>
    <t>Deborah</t>
  </si>
  <si>
    <t>Pham</t>
  </si>
  <si>
    <t>dkhounsavath@lifespan.org</t>
  </si>
  <si>
    <t>Anchor Medical Associates</t>
  </si>
  <si>
    <t>Margaret</t>
  </si>
  <si>
    <t>Codispoti</t>
  </si>
  <si>
    <t>Marie</t>
  </si>
  <si>
    <t>Laboissonniere</t>
  </si>
  <si>
    <t>marie.laboissonniere@lifespan.org</t>
  </si>
  <si>
    <t>Kevin</t>
  </si>
  <si>
    <t>Kelley</t>
  </si>
  <si>
    <t>kkelley6@lifespan.org</t>
  </si>
  <si>
    <t>Ashley</t>
  </si>
  <si>
    <t>Pisani</t>
  </si>
  <si>
    <t>barringtonfamilymed@gmail.com</t>
  </si>
  <si>
    <t>100 Highland Avenue, Suite 302</t>
  </si>
  <si>
    <t>Rosemary</t>
  </si>
  <si>
    <t>McCann</t>
  </si>
  <si>
    <t>(401) 477-0011</t>
  </si>
  <si>
    <t>Children's Medical Group (University Pediatrics)</t>
  </si>
  <si>
    <t>Dashboard - Practice Information - Kids</t>
  </si>
  <si>
    <t>East Bay Community Action Program</t>
  </si>
  <si>
    <t>Coastal Waterman Pediatrics</t>
  </si>
  <si>
    <t>Hasbro Pediatric Primary Care</t>
  </si>
  <si>
    <t>Coastal Narragansett Bay Pediatrics</t>
  </si>
  <si>
    <t>East Greenwich Pediatrics</t>
  </si>
  <si>
    <t>Hasbro Medicine-Pediatric Primary Care Center</t>
  </si>
  <si>
    <t>Pediatric Associates, Inc</t>
  </si>
  <si>
    <t>Wood River Health</t>
  </si>
  <si>
    <t>Coastal Bald Hill Pediatrics</t>
  </si>
  <si>
    <t>Cranston (Park) Pediatrics</t>
  </si>
  <si>
    <t>Coastal Toll Gate Pediatrics</t>
  </si>
  <si>
    <t>Thomas Puleo</t>
  </si>
  <si>
    <t>Northern RI Pediatrics</t>
  </si>
  <si>
    <t>Barrington Pediatrics</t>
  </si>
  <si>
    <t>Kingstown Pediatrics</t>
  </si>
  <si>
    <t>East Side Pediatrics</t>
  </si>
  <si>
    <t>Aquidneck Pediatrics</t>
  </si>
  <si>
    <t>Dashboard - Practice QM - Kids</t>
  </si>
  <si>
    <t>Developmental Screening Target</t>
  </si>
  <si>
    <t>Developmental Screening Actual</t>
  </si>
  <si>
    <t>Developmental Screening Met Threshold (Method 1)</t>
  </si>
  <si>
    <t>Developmental Screening Met Method 2</t>
  </si>
  <si>
    <t>Met Access Target w Method 2 (Yr 2018)</t>
  </si>
  <si>
    <t>Met Communication Target Method 1 (regardless of Access)</t>
  </si>
  <si>
    <t>Met Communication Target Method 2 (regardless of Access - Yr 2018)</t>
  </si>
  <si>
    <t>Met Office Staff Target Method 2 (regardless of Access - Yr 2018)</t>
  </si>
  <si>
    <t>Met 2 out of 3 CAHP measures (Yr 2018)</t>
  </si>
  <si>
    <t>BMI Met via Method 2 (YR 2018)</t>
  </si>
  <si>
    <t>BMI (New Measure) Target (Yr 2018)</t>
  </si>
  <si>
    <t>Access Target (yr 2018)</t>
  </si>
  <si>
    <t>Michael</t>
  </si>
  <si>
    <t>Cummings</t>
  </si>
  <si>
    <t>Provider</t>
  </si>
  <si>
    <t>mcummings1@lifespan.org</t>
  </si>
  <si>
    <t>Christine</t>
  </si>
  <si>
    <t>Carr</t>
  </si>
  <si>
    <t>ccarr1@lifespan.org</t>
  </si>
  <si>
    <t>Marna</t>
  </si>
  <si>
    <t>Heck-Jones</t>
  </si>
  <si>
    <t>Central Practice EHR Coordinator</t>
  </si>
  <si>
    <t>mheckjones@lifespan.org</t>
  </si>
  <si>
    <t>Nathan</t>
  </si>
  <si>
    <t>Beraha</t>
  </si>
  <si>
    <t>Medical Director</t>
  </si>
  <si>
    <t>nberaha@lifespan.org</t>
  </si>
  <si>
    <t>Jacquelyn</t>
  </si>
  <si>
    <t>Arieta</t>
  </si>
  <si>
    <t>Judith</t>
  </si>
  <si>
    <t>Westrick</t>
  </si>
  <si>
    <t>Kathleen</t>
  </si>
  <si>
    <t>Hughes</t>
  </si>
  <si>
    <t>Malini</t>
  </si>
  <si>
    <t>Gillen</t>
  </si>
  <si>
    <t>Martha</t>
  </si>
  <si>
    <t>Leonard</t>
  </si>
  <si>
    <t>Melissa</t>
  </si>
  <si>
    <t>Ferreira</t>
  </si>
  <si>
    <t>mferreira6@lifespan.org</t>
  </si>
  <si>
    <t>Mary-Carol</t>
  </si>
  <si>
    <t>McMahon</t>
  </si>
  <si>
    <t>Practice Manager</t>
  </si>
  <si>
    <t>mmcmahon1@lifespan.org</t>
  </si>
  <si>
    <t>Michelle</t>
  </si>
  <si>
    <t>Lacroix</t>
  </si>
  <si>
    <t>mlacroix@lifespan.org</t>
  </si>
  <si>
    <t>Robyn</t>
  </si>
  <si>
    <t>Ostapow</t>
  </si>
  <si>
    <t>Provider Champion</t>
  </si>
  <si>
    <t>rostapow@lifespan.org</t>
  </si>
  <si>
    <t>Joyce</t>
  </si>
  <si>
    <t>Caraman</t>
  </si>
  <si>
    <t>Central Practice Financial &amp; Administrative Support</t>
  </si>
  <si>
    <t>jcaraman@lifespan.org</t>
  </si>
  <si>
    <t>Diane</t>
  </si>
  <si>
    <t>Siedlecki</t>
  </si>
  <si>
    <t>dsiedlecki@lifespan.org</t>
  </si>
  <si>
    <t>Michele</t>
  </si>
  <si>
    <t>Brown</t>
  </si>
  <si>
    <t>michdiamond24@yahoo.com</t>
  </si>
  <si>
    <t>50 Memorial Blvd</t>
  </si>
  <si>
    <t>Newport</t>
  </si>
  <si>
    <t>Christina</t>
  </si>
  <si>
    <t>Dierolf</t>
  </si>
  <si>
    <t>MD</t>
  </si>
  <si>
    <t>Casey</t>
  </si>
  <si>
    <t>Eldert</t>
  </si>
  <si>
    <t>Keivan</t>
  </si>
  <si>
    <t>Ettefagh</t>
  </si>
  <si>
    <t>Jennifer</t>
  </si>
  <si>
    <t>Salm</t>
  </si>
  <si>
    <t>Ullman</t>
  </si>
  <si>
    <t>mullman@lifespan.org</t>
  </si>
  <si>
    <t>Pugatch</t>
  </si>
  <si>
    <t>Office Contact</t>
  </si>
  <si>
    <t>kpugatch@aquidneckpediatrics.com</t>
  </si>
  <si>
    <t>Becky</t>
  </si>
  <si>
    <t>DeConto</t>
  </si>
  <si>
    <t>Care Coordination Staff</t>
  </si>
  <si>
    <t>rdeconto@aquidneckpediatrics.com</t>
  </si>
  <si>
    <t>Jean</t>
  </si>
  <si>
    <t>Sanders</t>
  </si>
  <si>
    <t>Electronic Medical Records Consultant</t>
  </si>
  <si>
    <t>jeanbsanders@gmail.com</t>
  </si>
  <si>
    <t>Suzannne</t>
  </si>
  <si>
    <t>Kane</t>
  </si>
  <si>
    <t>skane@aquidneckpediatrics.com</t>
  </si>
  <si>
    <t>Kathy</t>
  </si>
  <si>
    <t>Rebecca</t>
  </si>
  <si>
    <t>Chase DeConto</t>
  </si>
  <si>
    <t>Pediatric Nurse Care Manager</t>
  </si>
  <si>
    <t>John</t>
  </si>
  <si>
    <t>NP</t>
  </si>
  <si>
    <t>Andrea Arena</t>
  </si>
  <si>
    <t>Lynn</t>
  </si>
  <si>
    <t>Ho</t>
  </si>
  <si>
    <t>PCMH Lead</t>
  </si>
  <si>
    <t>nkfpdoc@gmail.com</t>
  </si>
  <si>
    <t>Lisa</t>
  </si>
  <si>
    <t>Denny</t>
  </si>
  <si>
    <t>lisa_denny@brown.edu</t>
  </si>
  <si>
    <t>Andrea</t>
  </si>
  <si>
    <t>Arena</t>
  </si>
  <si>
    <t>andrea_arena@brown.edu</t>
  </si>
  <si>
    <t>Mariko</t>
  </si>
  <si>
    <t>Neveu</t>
  </si>
  <si>
    <t>apisani1220@hotmail.com</t>
  </si>
  <si>
    <t>334D County Road</t>
  </si>
  <si>
    <t>Ronni</t>
  </si>
  <si>
    <t>Harts</t>
  </si>
  <si>
    <t>bpaoffice1@aol.com</t>
  </si>
  <si>
    <t>Clegg</t>
  </si>
  <si>
    <t>Keswick</t>
  </si>
  <si>
    <t>Katherine</t>
  </si>
  <si>
    <t>Hart</t>
  </si>
  <si>
    <t>katie.ann.hart@gmail.com</t>
  </si>
  <si>
    <t>Mileikowsky</t>
  </si>
  <si>
    <t>Victor</t>
  </si>
  <si>
    <t>Lerish</t>
  </si>
  <si>
    <t>Beller</t>
  </si>
  <si>
    <t>Kathryn</t>
  </si>
  <si>
    <t>Saylor</t>
  </si>
  <si>
    <t>Stephanie</t>
  </si>
  <si>
    <t>Souza</t>
  </si>
  <si>
    <t>Kelly</t>
  </si>
  <si>
    <t>Sheedy</t>
  </si>
  <si>
    <t>Care Coordinator</t>
  </si>
  <si>
    <t>kestrela28@gmail.com</t>
  </si>
  <si>
    <t>Robert</t>
  </si>
  <si>
    <t>Eden</t>
  </si>
  <si>
    <t>redenmd@aol.com</t>
  </si>
  <si>
    <t>Mance</t>
  </si>
  <si>
    <t>Sharon</t>
  </si>
  <si>
    <t>Bonn</t>
  </si>
  <si>
    <t>Leticia</t>
  </si>
  <si>
    <t>Velleca</t>
  </si>
  <si>
    <t>Practice / IT Manager</t>
  </si>
  <si>
    <t>alza0420@yahoo.com</t>
  </si>
  <si>
    <t>Jessica</t>
  </si>
  <si>
    <t>Hauswirth</t>
  </si>
  <si>
    <t>jhauswirth94@gmail.com</t>
  </si>
  <si>
    <t>Letty</t>
  </si>
  <si>
    <t>300 Centerville Road, Summit East</t>
  </si>
  <si>
    <t>Warwick</t>
  </si>
  <si>
    <t>Marjorie</t>
  </si>
  <si>
    <t>Nasin</t>
  </si>
  <si>
    <t>mnasin@coastalmedical.com</t>
  </si>
  <si>
    <t>Castree</t>
  </si>
  <si>
    <t>Carole</t>
  </si>
  <si>
    <t>Lengyel</t>
  </si>
  <si>
    <t>Howard</t>
  </si>
  <si>
    <t>Mintz</t>
  </si>
  <si>
    <t>Leah</t>
  </si>
  <si>
    <t>Lavature</t>
  </si>
  <si>
    <t>llavature@coastalmedical.com</t>
  </si>
  <si>
    <t>Romi</t>
  </si>
  <si>
    <t>Webster</t>
  </si>
  <si>
    <t>Denise</t>
  </si>
  <si>
    <t>Green</t>
  </si>
  <si>
    <t>dgreen@coastalmedical.com</t>
  </si>
  <si>
    <t>Edward</t>
  </si>
  <si>
    <t>McGookin</t>
  </si>
  <si>
    <t>emcgookin@coastaldocs.com</t>
  </si>
  <si>
    <t>Pamela</t>
  </si>
  <si>
    <t>pkelley@coastalmedical.com</t>
  </si>
  <si>
    <t>Aleah</t>
  </si>
  <si>
    <t>George</t>
  </si>
  <si>
    <t>ageorge@coastalmedical.com</t>
  </si>
  <si>
    <t>Stacey</t>
  </si>
  <si>
    <t>Christopher</t>
  </si>
  <si>
    <t>Ferraro</t>
  </si>
  <si>
    <t>cferraro@coastaldocs.com</t>
  </si>
  <si>
    <t>Kimberly</t>
  </si>
  <si>
    <t>65 Village Square Drive, Suite 101</t>
  </si>
  <si>
    <t>Wakefield</t>
  </si>
  <si>
    <t>Mary</t>
  </si>
  <si>
    <t>Murray</t>
  </si>
  <si>
    <t>mmurray@coastalmedical.com</t>
  </si>
  <si>
    <t>Andi</t>
  </si>
  <si>
    <t>Srabian</t>
  </si>
  <si>
    <t>asrabian@coastalmedical.com</t>
  </si>
  <si>
    <t>Maltz</t>
  </si>
  <si>
    <t>Barbara</t>
  </si>
  <si>
    <t>Mcgee-Coghlin</t>
  </si>
  <si>
    <t>Celeste</t>
  </si>
  <si>
    <t>Corcoran</t>
  </si>
  <si>
    <t>Courtney</t>
  </si>
  <si>
    <t>Lane</t>
  </si>
  <si>
    <t>Joy</t>
  </si>
  <si>
    <t>Ziegler</t>
  </si>
  <si>
    <t>McGovern</t>
  </si>
  <si>
    <t>mmcgovern@coastalmedical.com</t>
  </si>
  <si>
    <t>Agnieszka</t>
  </si>
  <si>
    <t>Kendall</t>
  </si>
  <si>
    <t>Joanne</t>
  </si>
  <si>
    <t>Rodgers</t>
  </si>
  <si>
    <t>jrodgers@coastalmedical.com</t>
  </si>
  <si>
    <t>Antoinette</t>
  </si>
  <si>
    <t>Sullivan</t>
  </si>
  <si>
    <t>asullivan@coastalmedical.com</t>
  </si>
  <si>
    <t>176 Toll Gate Road, Suite 101</t>
  </si>
  <si>
    <t>David</t>
  </si>
  <si>
    <t>Hunt</t>
  </si>
  <si>
    <t>dhunt@coastalmedical.com</t>
  </si>
  <si>
    <t>Nickerson</t>
  </si>
  <si>
    <t>snickerson@coastalmedical.com</t>
  </si>
  <si>
    <t>Laura</t>
  </si>
  <si>
    <t>Dawson</t>
  </si>
  <si>
    <t>Roger</t>
  </si>
  <si>
    <t>Mennillo</t>
  </si>
  <si>
    <t>Raymond</t>
  </si>
  <si>
    <t>Zarlengo</t>
  </si>
  <si>
    <t>Mullins</t>
  </si>
  <si>
    <t>CPNP</t>
  </si>
  <si>
    <t>Mice</t>
  </si>
  <si>
    <t>Chen</t>
  </si>
  <si>
    <t>IT Contact</t>
  </si>
  <si>
    <t>mchen@coastalmedical.com</t>
  </si>
  <si>
    <t>Cynthia</t>
  </si>
  <si>
    <t>Walbridge</t>
  </si>
  <si>
    <t>cwalbridge@coastalmedical.com</t>
  </si>
  <si>
    <t>900 Warren Avenue, Suite 200</t>
  </si>
  <si>
    <t>East Providence</t>
  </si>
  <si>
    <t>Elizabeth</t>
  </si>
  <si>
    <t>Lange</t>
  </si>
  <si>
    <t>elizlange@cox.net</t>
  </si>
  <si>
    <t>Carla</t>
  </si>
  <si>
    <t>Porter</t>
  </si>
  <si>
    <t>cporter@coastalmedical.com</t>
  </si>
  <si>
    <t>Lauren</t>
  </si>
  <si>
    <t>Ward</t>
  </si>
  <si>
    <t>Sette</t>
  </si>
  <si>
    <t>Sherri</t>
  </si>
  <si>
    <t>Gagnon</t>
  </si>
  <si>
    <t>Gaines</t>
  </si>
  <si>
    <t>Bliss</t>
  </si>
  <si>
    <t>Finigan</t>
  </si>
  <si>
    <t>Shaw</t>
  </si>
  <si>
    <t>Aronow</t>
  </si>
  <si>
    <t>Amy</t>
  </si>
  <si>
    <t>aneveu@coastalmedical.com</t>
  </si>
  <si>
    <t>251 Park Avenue</t>
  </si>
  <si>
    <t>Cranston</t>
  </si>
  <si>
    <t>Rick</t>
  </si>
  <si>
    <t>Quiles</t>
  </si>
  <si>
    <t>drquiles@yahoo.com</t>
  </si>
  <si>
    <t>Santos</t>
  </si>
  <si>
    <t>parkped.jsantos@gmail.com</t>
  </si>
  <si>
    <t>100 Bullocks Point Avenue</t>
  </si>
  <si>
    <t>Betsy</t>
  </si>
  <si>
    <t>Dennigan</t>
  </si>
  <si>
    <t>bdennigan@ebcap.org</t>
  </si>
  <si>
    <t>Shawn</t>
  </si>
  <si>
    <t>swallow</t>
  </si>
  <si>
    <t>IS Director</t>
  </si>
  <si>
    <t>sswallow@ebcap.org</t>
  </si>
  <si>
    <t>Sarah</t>
  </si>
  <si>
    <t>Fessler</t>
  </si>
  <si>
    <t>sfessler@ebcap.org</t>
  </si>
  <si>
    <t>Teresita</t>
  </si>
  <si>
    <t>Hamilton</t>
  </si>
  <si>
    <t>Carol</t>
  </si>
  <si>
    <t>1377 South County Trail Suite 2B</t>
  </si>
  <si>
    <t>East Greenwich</t>
  </si>
  <si>
    <t>Peter</t>
  </si>
  <si>
    <t>Pogacar</t>
  </si>
  <si>
    <t>prpogacar@gmail.com</t>
  </si>
  <si>
    <t>DiCola</t>
  </si>
  <si>
    <t>eastgreenwichpediatrics@gmail.com</t>
  </si>
  <si>
    <t>Molly</t>
  </si>
  <si>
    <t>Lacher-Katz</t>
  </si>
  <si>
    <t>Bonnie</t>
  </si>
  <si>
    <t>Reibman</t>
  </si>
  <si>
    <t>Cindy</t>
  </si>
  <si>
    <t>Klipfel</t>
  </si>
  <si>
    <t>Claire</t>
  </si>
  <si>
    <t>Flanagan</t>
  </si>
  <si>
    <t>Clare</t>
  </si>
  <si>
    <t>McMillan</t>
  </si>
  <si>
    <t>Karen</t>
  </si>
  <si>
    <t>Maule</t>
  </si>
  <si>
    <t>Kathrine</t>
  </si>
  <si>
    <t>Snape</t>
  </si>
  <si>
    <t>Linda</t>
  </si>
  <si>
    <t>lhughes@ripcpc.org</t>
  </si>
  <si>
    <t>Giselle</t>
  </si>
  <si>
    <t>Ipselalba</t>
  </si>
  <si>
    <t>gipselalba1@gmail.com</t>
  </si>
  <si>
    <t>154 Waterman Street, Suite 3</t>
  </si>
  <si>
    <t>William</t>
  </si>
  <si>
    <t>Morocco</t>
  </si>
  <si>
    <t>drmorocco@eastsidepediatrics.net</t>
  </si>
  <si>
    <t>Matt</t>
  </si>
  <si>
    <t>Tracey</t>
  </si>
  <si>
    <t>Farb</t>
  </si>
  <si>
    <t>Lanan</t>
  </si>
  <si>
    <t>Tural</t>
  </si>
  <si>
    <t>Boratyn</t>
  </si>
  <si>
    <t>Jenny</t>
  </si>
  <si>
    <t>Weaver</t>
  </si>
  <si>
    <t>jennyaubin@eastsidepediatrics.net</t>
  </si>
  <si>
    <t>245 Chapman Street, Suite 100</t>
  </si>
  <si>
    <t>Suzanne</t>
  </si>
  <si>
    <t>McLaughlin</t>
  </si>
  <si>
    <t>suzanne.mclaughlin@lifespan.org</t>
  </si>
  <si>
    <t>Sheri</t>
  </si>
  <si>
    <t>Sharp</t>
  </si>
  <si>
    <t>Dan</t>
  </si>
  <si>
    <t>Moynihan</t>
  </si>
  <si>
    <t>dmoynihan1@lifespan.org</t>
  </si>
  <si>
    <t>Susan</t>
  </si>
  <si>
    <t>Dressler</t>
  </si>
  <si>
    <t>sdressler@lifespan.org</t>
  </si>
  <si>
    <t>Nicholas</t>
  </si>
  <si>
    <t>Grumbach</t>
  </si>
  <si>
    <t>Staci</t>
  </si>
  <si>
    <t>Eisenberg</t>
  </si>
  <si>
    <t>Sybil</t>
  </si>
  <si>
    <t>Cineas</t>
  </si>
  <si>
    <t>Benjamin</t>
  </si>
  <si>
    <t>Felix</t>
  </si>
  <si>
    <t>Toll</t>
  </si>
  <si>
    <t>etoll@lifespan.org</t>
  </si>
  <si>
    <t>Babb</t>
  </si>
  <si>
    <t>Kristin</t>
  </si>
  <si>
    <t>Anderson</t>
  </si>
  <si>
    <t>Kristen</t>
  </si>
  <si>
    <t>Delsanto</t>
  </si>
  <si>
    <t>kristen.delsanto@lifespan.org</t>
  </si>
  <si>
    <t>ricardo.santos@lifespan.org</t>
  </si>
  <si>
    <t>brayton-simmons</t>
  </si>
  <si>
    <t>Program Manager / Care Coordinator</t>
  </si>
  <si>
    <t>bbraytonsimmons@lifespan.org</t>
  </si>
  <si>
    <t>593 Eddy Street, Providence, RI, 02903</t>
  </si>
  <si>
    <t>Lewis</t>
  </si>
  <si>
    <t>clewis2@lifespan.org</t>
  </si>
  <si>
    <t>Judy</t>
  </si>
  <si>
    <t>Dasilva</t>
  </si>
  <si>
    <t>jadasilva@lifespan.org</t>
  </si>
  <si>
    <t>Natalia</t>
  </si>
  <si>
    <t>Golova</t>
  </si>
  <si>
    <t>Patricia</t>
  </si>
  <si>
    <t>pflanagan@lifespan.org</t>
  </si>
  <si>
    <t>Patrick</t>
  </si>
  <si>
    <t>Vivier</t>
  </si>
  <si>
    <t>Randal</t>
  </si>
  <si>
    <t>Rockney</t>
  </si>
  <si>
    <t>Burke</t>
  </si>
  <si>
    <t>Sandy</t>
  </si>
  <si>
    <t>Musial</t>
  </si>
  <si>
    <t>Shuba</t>
  </si>
  <si>
    <t>Kamath</t>
  </si>
  <si>
    <t>Adam</t>
  </si>
  <si>
    <t>Pallant</t>
  </si>
  <si>
    <t>Alison</t>
  </si>
  <si>
    <t>Riese</t>
  </si>
  <si>
    <t>Allison</t>
  </si>
  <si>
    <t>Brindle</t>
  </si>
  <si>
    <t>Chandan</t>
  </si>
  <si>
    <t>Lakhiani</t>
  </si>
  <si>
    <t>Colleen</t>
  </si>
  <si>
    <t>Deems</t>
  </si>
  <si>
    <t>Delma-Jean</t>
  </si>
  <si>
    <t>Watts</t>
  </si>
  <si>
    <t>Coppa</t>
  </si>
  <si>
    <t>Friedman</t>
  </si>
  <si>
    <t>Gail</t>
  </si>
  <si>
    <t>Davis</t>
  </si>
  <si>
    <t>gdavis2@lifespan.org</t>
  </si>
  <si>
    <t>Cooney</t>
  </si>
  <si>
    <t>kcooney@lifespan.org</t>
  </si>
  <si>
    <t>Cristina</t>
  </si>
  <si>
    <t>Costa</t>
  </si>
  <si>
    <t>ccostarado@lifespan.org</t>
  </si>
  <si>
    <t>Heinly</t>
  </si>
  <si>
    <t>Daniel</t>
  </si>
  <si>
    <t>Contracting Contact</t>
  </si>
  <si>
    <t>dmoynihan@lifespan.org</t>
  </si>
  <si>
    <t>Bogus</t>
  </si>
  <si>
    <t>elizabeth.bogus@lifespan.org</t>
  </si>
  <si>
    <t>426 F Scrabbletown Road</t>
  </si>
  <si>
    <t>North Kingston</t>
  </si>
  <si>
    <t>Powers</t>
  </si>
  <si>
    <t>cpowers@kingstownpediatrics.com</t>
  </si>
  <si>
    <t>Cotnoir</t>
  </si>
  <si>
    <t>mcotnoir@kingstownpediatrics.com</t>
  </si>
  <si>
    <t>McCloskey</t>
  </si>
  <si>
    <t>Caitlin</t>
  </si>
  <si>
    <t>Levesque</t>
  </si>
  <si>
    <t>Topitzer</t>
  </si>
  <si>
    <t>2140 Mendon Road, Suite 201</t>
  </si>
  <si>
    <t>Cumberland</t>
  </si>
  <si>
    <t>Danielle</t>
  </si>
  <si>
    <t>Curitore</t>
  </si>
  <si>
    <t>dcuritore@aol.com</t>
  </si>
  <si>
    <t>Charette</t>
  </si>
  <si>
    <t>lauren@nripediatrics.com</t>
  </si>
  <si>
    <t>Bennette</t>
  </si>
  <si>
    <t>Grimes</t>
  </si>
  <si>
    <t>Donahue</t>
  </si>
  <si>
    <t>Testing</t>
  </si>
  <si>
    <t>Test</t>
  </si>
  <si>
    <t>testing@testing.com</t>
  </si>
  <si>
    <t>ctcri@umassmed.edu</t>
  </si>
  <si>
    <t>450 Veterans Memorial Parkway, Building 10</t>
  </si>
  <si>
    <t>Kimberley</t>
  </si>
  <si>
    <t>Townsend</t>
  </si>
  <si>
    <t>kimberley_townsend@yahoo.com</t>
  </si>
  <si>
    <t>Griffith</t>
  </si>
  <si>
    <t>Turtle</t>
  </si>
  <si>
    <t>Alexandra</t>
  </si>
  <si>
    <t>Labovitz</t>
  </si>
  <si>
    <t>Andree</t>
  </si>
  <si>
    <t>Heinl</t>
  </si>
  <si>
    <t>Yamillette</t>
  </si>
  <si>
    <t>Hernandez</t>
  </si>
  <si>
    <t>yami_jb79@yahoo.com</t>
  </si>
  <si>
    <t>AnnMarie</t>
  </si>
  <si>
    <t>Peters</t>
  </si>
  <si>
    <t>apeters76@verizon.net</t>
  </si>
  <si>
    <t>Gregory</t>
  </si>
  <si>
    <t>Fox</t>
  </si>
  <si>
    <t>Cara</t>
  </si>
  <si>
    <t>Moeller</t>
  </si>
  <si>
    <t>1220 Pontiac Avenue, Suite 302</t>
  </si>
  <si>
    <t>Thomas</t>
  </si>
  <si>
    <t>Puleo</t>
  </si>
  <si>
    <t>tdpuleomd@gmail.com</t>
  </si>
  <si>
    <t>Cherico</t>
  </si>
  <si>
    <t>ccherico@hotmail.com</t>
  </si>
  <si>
    <t>823 Main Street</t>
  </si>
  <si>
    <t>Hope Valley</t>
  </si>
  <si>
    <t>NextGen</t>
  </si>
  <si>
    <t>Lichtenstein</t>
  </si>
  <si>
    <t>mlichtenstein@wrhsri.org</t>
  </si>
  <si>
    <t>Menard-Manlove</t>
  </si>
  <si>
    <t>lmenard-manlove@wrhsri.org</t>
  </si>
  <si>
    <t>Lynda</t>
  </si>
  <si>
    <t>Greene</t>
  </si>
  <si>
    <t>lgreene@wrhsri.org</t>
  </si>
  <si>
    <t>Bergeron</t>
  </si>
  <si>
    <t>Sandra</t>
  </si>
  <si>
    <t>Shital</t>
  </si>
  <si>
    <t>Desai</t>
  </si>
  <si>
    <t>Tara</t>
  </si>
  <si>
    <t>Auren</t>
  </si>
  <si>
    <t>Pope</t>
  </si>
  <si>
    <t>Ellen</t>
  </si>
  <si>
    <t>Brosofsky</t>
  </si>
  <si>
    <t>Johnson</t>
  </si>
  <si>
    <t>Kozel</t>
  </si>
  <si>
    <t>Smith</t>
  </si>
  <si>
    <t>csmith@wrhsri.org</t>
  </si>
  <si>
    <t>NCQA Work Plan</t>
  </si>
  <si>
    <t>BH Compact Received?</t>
  </si>
  <si>
    <t>HighRisk Registry-Reportable Fields</t>
  </si>
  <si>
    <t># of QM met</t>
  </si>
  <si>
    <t>Generated By: Carolyn Karner 5/16/2018 9:05 AM</t>
  </si>
  <si>
    <t>In progress</t>
  </si>
  <si>
    <t>Generated By: Carolyn Karner 5/16/2018 10:07 AM</t>
  </si>
  <si>
    <t>Contract Adjudication QM Values for Adults</t>
  </si>
  <si>
    <t>Current quarter/year =</t>
  </si>
  <si>
    <t>Baseline quarter/year =</t>
  </si>
  <si>
    <t xml:space="preserve">number of quality measurements = </t>
  </si>
  <si>
    <t># of QM's that need to be met</t>
  </si>
  <si>
    <t xml:space="preserve">Start up Cohort = </t>
  </si>
  <si>
    <t xml:space="preserve">Access % improvement = </t>
  </si>
  <si>
    <t>Contract Adjudication QM Values for Kids</t>
  </si>
  <si>
    <t xml:space="preserve"> </t>
  </si>
  <si>
    <t>Met criteria</t>
  </si>
  <si>
    <t>Total</t>
  </si>
  <si>
    <t>Count of Cohort 2</t>
  </si>
  <si>
    <t>count of Cohort 1</t>
  </si>
  <si>
    <t xml:space="preserve">met 2 QM = </t>
  </si>
  <si>
    <t xml:space="preserve">Met 1 QM = </t>
  </si>
  <si>
    <t xml:space="preserve">met 0 QM = </t>
  </si>
  <si>
    <t>BMI</t>
  </si>
  <si>
    <t>2018 target</t>
  </si>
  <si>
    <t>Access</t>
  </si>
  <si>
    <t>Communication</t>
  </si>
  <si>
    <t>Office Staff</t>
  </si>
  <si>
    <t>no</t>
  </si>
  <si>
    <t>Non-Medicaid</t>
  </si>
  <si>
    <t>yes</t>
  </si>
  <si>
    <t>Medicaid</t>
  </si>
  <si>
    <t>Quality Measures</t>
  </si>
  <si>
    <t>Met target</t>
  </si>
  <si>
    <t>Did not meet target</t>
  </si>
  <si>
    <t>Developmental Screening</t>
  </si>
  <si>
    <t>2 out of 2 QM</t>
  </si>
  <si>
    <t>1 out of 2 QM</t>
  </si>
  <si>
    <t>CAHPS</t>
  </si>
  <si>
    <t xml:space="preserve"># Met CAHPS = </t>
  </si>
  <si>
    <t>2 out of 3 CAHPS</t>
  </si>
  <si>
    <t>Met 2 out of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</si>
</sst>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61">
    <xf numFmtId="0" fontId="0" fillId="0" borderId="0" xfId="0"/>
    <xf numFmtId="0" fontId="0" fillId="0" borderId="0" xfId="0"/>
    <xf numFmtId="0" fontId="19" fillId="0" borderId="0" xfId="0" applyFont="1" applyAlignment="1">
      <alignment horizontal="center" vertical="center" wrapText="1"/>
    </xf>
    <xf numFmtId="0" fontId="18" fillId="0" borderId="0" xfId="0" applyFont="1" applyAlignment="1">
      <alignment horizontal="right" wrapText="1"/>
    </xf>
    <xf numFmtId="0" fontId="0" fillId="0" borderId="0" xfId="0" applyAlignment="1">
      <alignment wrapText="1"/>
    </xf>
    <xf numFmtId="0" fontId="0" fillId="0" borderId="11" xfId="0" applyBorder="1"/>
    <xf numFmtId="0" fontId="19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horizontal="right" wrapText="1"/>
    </xf>
    <xf numFmtId="0" fontId="0" fillId="0" borderId="0" xfId="0" applyFill="1"/>
    <xf numFmtId="0" fontId="0" fillId="0" borderId="0" xfId="0"/>
    <xf numFmtId="0" fontId="19" fillId="0" borderId="0" xfId="0" applyFont="1" applyAlignment="1">
      <alignment horizontal="center" vertical="center" wrapText="1"/>
    </xf>
    <xf numFmtId="0" fontId="18" fillId="0" borderId="0" xfId="0" applyFont="1" applyAlignment="1">
      <alignment horizontal="right" wrapText="1"/>
    </xf>
    <xf numFmtId="0" fontId="19" fillId="0" borderId="0" xfId="0" applyFont="1" applyAlignment="1">
      <alignment horizontal="center" vertical="center" wrapText="1"/>
    </xf>
    <xf numFmtId="0" fontId="18" fillId="0" borderId="0" xfId="0" applyFont="1" applyAlignment="1">
      <alignment horizontal="right" wrapText="1"/>
    </xf>
    <xf numFmtId="0" fontId="18" fillId="0" borderId="0" xfId="0" applyFont="1" applyAlignment="1">
      <alignment horizontal="right" wrapText="1"/>
    </xf>
    <xf numFmtId="49" fontId="18" fillId="0" borderId="0" xfId="0" applyNumberFormat="1" applyFont="1" applyFill="1" applyAlignment="1">
      <alignment wrapText="1"/>
    </xf>
    <xf numFmtId="0" fontId="0" fillId="0" borderId="0" xfId="0"/>
    <xf numFmtId="0" fontId="19" fillId="0" borderId="0" xfId="0" applyFont="1" applyAlignment="1">
      <alignment horizontal="center" vertical="center" wrapText="1"/>
    </xf>
    <xf numFmtId="49" fontId="0" fillId="0" borderId="0" xfId="0" applyNumberFormat="1" applyAlignment="1">
      <alignment wrapText="1"/>
    </xf>
    <xf numFmtId="49" fontId="18" fillId="0" borderId="0" xfId="0" applyNumberFormat="1" applyFont="1" applyAlignment="1">
      <alignment wrapText="1"/>
    </xf>
    <xf numFmtId="0" fontId="0" fillId="0" borderId="0" xfId="0" applyAlignment="1">
      <alignment horizontal="right" wrapText="1"/>
    </xf>
    <xf numFmtId="14" fontId="18" fillId="0" borderId="0" xfId="0" applyNumberFormat="1" applyFont="1" applyAlignment="1">
      <alignment horizontal="right" wrapText="1"/>
    </xf>
    <xf numFmtId="0" fontId="18" fillId="0" borderId="0" xfId="0" applyFont="1"/>
    <xf numFmtId="0" fontId="0" fillId="0" borderId="0" xfId="0" applyFill="1" applyAlignment="1">
      <alignment horizontal="right" wrapText="1"/>
    </xf>
    <xf numFmtId="0" fontId="18" fillId="0" borderId="11" xfId="0" applyFont="1" applyFill="1" applyBorder="1" applyAlignment="1">
      <alignment horizontal="right" wrapText="1"/>
    </xf>
    <xf numFmtId="0" fontId="19" fillId="0" borderId="10" xfId="0" applyFont="1" applyFill="1" applyBorder="1" applyAlignment="1">
      <alignment horizontal="center" vertical="center" wrapText="1"/>
    </xf>
    <xf numFmtId="0" fontId="0" fillId="0" borderId="11" xfId="0" applyFill="1" applyBorder="1"/>
    <xf numFmtId="0" fontId="20" fillId="0" borderId="10" xfId="0" applyFont="1" applyBorder="1"/>
    <xf numFmtId="0" fontId="0" fillId="0" borderId="12" xfId="0" applyBorder="1"/>
    <xf numFmtId="0" fontId="0" fillId="0" borderId="13" xfId="0" applyBorder="1"/>
    <xf numFmtId="0" fontId="0" fillId="0" borderId="0" xfId="0" applyBorder="1"/>
    <xf numFmtId="0" fontId="0" fillId="0" borderId="14" xfId="0" applyBorder="1"/>
    <xf numFmtId="1" fontId="0" fillId="0" borderId="14" xfId="0" applyNumberFormat="1" applyBorder="1"/>
    <xf numFmtId="0" fontId="0" fillId="0" borderId="15" xfId="0" applyFill="1" applyBorder="1"/>
    <xf numFmtId="0" fontId="0" fillId="0" borderId="16" xfId="0" applyBorder="1"/>
    <xf numFmtId="1" fontId="0" fillId="0" borderId="17" xfId="0" applyNumberFormat="1" applyBorder="1"/>
    <xf numFmtId="0" fontId="0" fillId="0" borderId="14" xfId="0" applyNumberFormat="1" applyBorder="1"/>
    <xf numFmtId="0" fontId="0" fillId="0" borderId="15" xfId="0" applyBorder="1"/>
    <xf numFmtId="10" fontId="0" fillId="0" borderId="17" xfId="0" applyNumberFormat="1" applyBorder="1"/>
    <xf numFmtId="0" fontId="18" fillId="0" borderId="0" xfId="0" applyNumberFormat="1" applyFont="1" applyAlignment="1">
      <alignment wrapText="1"/>
    </xf>
    <xf numFmtId="0" fontId="18" fillId="0" borderId="0" xfId="0" applyNumberFormat="1" applyFont="1" applyFill="1" applyAlignment="1">
      <alignment wrapText="1"/>
    </xf>
    <xf numFmtId="0" fontId="0" fillId="0" borderId="10" xfId="0" applyBorder="1"/>
    <xf numFmtId="0" fontId="16" fillId="0" borderId="12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/>
    </xf>
    <xf numFmtId="0" fontId="18" fillId="0" borderId="0" xfId="0" applyFont="1" applyBorder="1" applyAlignment="1">
      <alignment horizontal="right" wrapText="1"/>
    </xf>
    <xf numFmtId="0" fontId="0" fillId="0" borderId="0" xfId="0" applyFill="1" applyBorder="1"/>
    <xf numFmtId="2" fontId="0" fillId="0" borderId="0" xfId="0" applyNumberFormat="1" applyBorder="1"/>
    <xf numFmtId="49" fontId="0" fillId="0" borderId="11" xfId="0" applyNumberFormat="1" applyBorder="1"/>
    <xf numFmtId="49" fontId="0" fillId="0" borderId="15" xfId="0" applyNumberFormat="1" applyBorder="1"/>
    <xf numFmtId="2" fontId="0" fillId="0" borderId="16" xfId="0" applyNumberFormat="1" applyBorder="1"/>
    <xf numFmtId="2" fontId="0" fillId="0" borderId="14" xfId="0" applyNumberFormat="1" applyBorder="1"/>
    <xf numFmtId="2" fontId="0" fillId="0" borderId="17" xfId="0" applyNumberFormat="1" applyBorder="1"/>
    <xf numFmtId="49" fontId="0" fillId="0" borderId="0" xfId="0" applyNumberFormat="1" applyBorder="1"/>
    <xf numFmtId="49" fontId="0" fillId="0" borderId="16" xfId="0" applyNumberFormat="1" applyBorder="1"/>
    <xf numFmtId="0" fontId="0" fillId="0" borderId="14" xfId="0" applyFill="1" applyBorder="1"/>
    <xf numFmtId="0" fontId="18" fillId="0" borderId="14" xfId="0" applyFont="1" applyBorder="1" applyAlignment="1">
      <alignment horizontal="right" wrapText="1"/>
    </xf>
    <xf numFmtId="1" fontId="0" fillId="0" borderId="16" xfId="0" applyNumberFormat="1" applyBorder="1"/>
    <xf numFmtId="0" fontId="0" fillId="0" borderId="11" xfId="0" applyNumberFormat="1" applyBorder="1"/>
    <xf numFmtId="0" fontId="0" fillId="0" borderId="15" xfId="0" applyNumberFormat="1" applyBorder="1"/>
    <xf numFmtId="0" fontId="0" fillId="0" borderId="0" xfId="0" applyBorder="1" applyAlignment="1">
      <alignment wrapText="1"/>
    </xf>
    <xf numFmtId="0" fontId="0" fillId="0" borderId="0" xfId="0" applyNumberFormat="1" applyFill="1" applyAlignment="1">
      <alignment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10">
    <dxf>
      <fill>
        <patternFill>
          <bgColor rgb="FFFF5050"/>
        </patternFill>
      </fill>
    </dxf>
    <dxf>
      <fill>
        <patternFill>
          <bgColor theme="9"/>
        </patternFill>
      </fill>
    </dxf>
    <dxf>
      <fill>
        <patternFill>
          <bgColor rgb="FFFF5050"/>
        </patternFill>
      </fill>
    </dxf>
    <dxf>
      <fill>
        <patternFill>
          <bgColor theme="9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theme="9"/>
        </patternFill>
      </fill>
    </dxf>
    <dxf>
      <fill>
        <patternFill>
          <bgColor rgb="FFFF5050"/>
        </patternFill>
      </fill>
    </dxf>
    <dxf>
      <fill>
        <patternFill>
          <bgColor theme="9"/>
        </patternFill>
      </fill>
    </dxf>
    <dxf>
      <fill>
        <patternFill>
          <bgColor rgb="FFFF5050"/>
        </patternFill>
      </fill>
    </dxf>
    <dxf>
      <fill>
        <patternFill>
          <bgColor theme="9"/>
        </patternFill>
      </fill>
    </dxf>
    <dxf>
      <fill>
        <patternFill>
          <bgColor rgb="FFFF5050"/>
        </patternFill>
      </fill>
    </dxf>
    <dxf>
      <fill>
        <patternFill>
          <bgColor theme="9"/>
        </patternFill>
      </fill>
    </dxf>
    <dxf>
      <fill>
        <patternFill>
          <bgColor rgb="FFFF5050"/>
        </patternFill>
      </fill>
    </dxf>
    <dxf>
      <fill>
        <patternFill>
          <bgColor theme="9"/>
        </patternFill>
      </fill>
    </dxf>
    <dxf>
      <fill>
        <patternFill>
          <bgColor rgb="FFFF5050"/>
        </patternFill>
      </fill>
    </dxf>
    <dxf>
      <fill>
        <patternFill>
          <bgColor theme="9"/>
        </patternFill>
      </fill>
    </dxf>
    <dxf>
      <fill>
        <patternFill>
          <bgColor rgb="FFFF5050"/>
        </patternFill>
      </fill>
    </dxf>
    <dxf>
      <fill>
        <patternFill>
          <bgColor theme="9"/>
        </patternFill>
      </fill>
    </dxf>
    <dxf>
      <fill>
        <patternFill>
          <bgColor rgb="FFFF5050"/>
        </patternFill>
      </fill>
    </dxf>
    <dxf>
      <fill>
        <patternFill>
          <bgColor theme="9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theme="9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theme="9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theme="9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theme="9"/>
        </patternFill>
      </fill>
    </dxf>
    <dxf>
      <fill>
        <patternFill>
          <bgColor rgb="FFFF5050"/>
        </patternFill>
      </fill>
    </dxf>
    <dxf>
      <fill>
        <patternFill>
          <bgColor theme="9"/>
        </patternFill>
      </fill>
    </dxf>
    <dxf>
      <fill>
        <patternFill>
          <bgColor rgb="FFFF5050"/>
        </patternFill>
      </fill>
    </dxf>
    <dxf>
      <fill>
        <patternFill>
          <bgColor theme="9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theme="9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theme="9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theme="9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theme="9"/>
        </patternFill>
      </fill>
    </dxf>
    <dxf>
      <fill>
        <patternFill>
          <bgColor rgb="FFFF5050"/>
        </patternFill>
      </fill>
    </dxf>
    <dxf>
      <fill>
        <patternFill>
          <bgColor theme="9"/>
        </patternFill>
      </fill>
    </dxf>
    <dxf>
      <fill>
        <patternFill>
          <bgColor rgb="FFFF5050"/>
        </patternFill>
      </fill>
    </dxf>
    <dxf>
      <fill>
        <patternFill>
          <bgColor theme="9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5050"/>
        </patternFill>
      </fill>
    </dxf>
    <dxf>
      <fill>
        <patternFill>
          <bgColor rgb="FF66FF33"/>
        </patternFill>
      </fill>
    </dxf>
    <dxf>
      <fill>
        <patternFill>
          <bgColor rgb="FFFF5050"/>
        </patternFill>
      </fill>
    </dxf>
    <dxf>
      <fill>
        <patternFill>
          <bgColor rgb="FF66FF33"/>
        </patternFill>
      </fill>
    </dxf>
    <dxf>
      <fill>
        <patternFill>
          <bgColor rgb="FFFF5050"/>
        </patternFill>
      </fill>
    </dxf>
    <dxf>
      <fill>
        <patternFill>
          <bgColor theme="9"/>
        </patternFill>
      </fill>
    </dxf>
    <dxf>
      <fill>
        <patternFill>
          <bgColor rgb="FFFF5050"/>
        </patternFill>
      </fill>
    </dxf>
    <dxf>
      <fill>
        <patternFill>
          <bgColor rgb="FF66FF33"/>
        </patternFill>
      </fill>
    </dxf>
    <dxf>
      <fill>
        <patternFill>
          <bgColor rgb="FFFF5050"/>
        </patternFill>
      </fill>
    </dxf>
    <dxf>
      <fill>
        <patternFill>
          <bgColor theme="9"/>
        </patternFill>
      </fill>
    </dxf>
    <dxf>
      <fill>
        <patternFill>
          <bgColor rgb="FFFF505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66FF33"/>
        </patternFill>
      </fill>
    </dxf>
    <dxf>
      <fill>
        <patternFill>
          <bgColor rgb="FFFF5050"/>
        </patternFill>
      </fill>
    </dxf>
    <dxf>
      <fill>
        <patternFill>
          <bgColor rgb="FFFFFF00"/>
        </patternFill>
      </fill>
    </dxf>
    <dxf>
      <fill>
        <patternFill>
          <bgColor rgb="FFFF5050"/>
        </patternFill>
      </fill>
    </dxf>
    <dxf>
      <fill>
        <patternFill>
          <bgColor theme="9"/>
        </patternFill>
      </fill>
    </dxf>
    <dxf>
      <fill>
        <patternFill>
          <bgColor rgb="FFFFFF00"/>
        </patternFill>
      </fill>
    </dxf>
    <dxf>
      <fill>
        <patternFill>
          <bgColor rgb="FFFF5050"/>
        </patternFill>
      </fill>
    </dxf>
    <dxf>
      <fill>
        <patternFill>
          <bgColor theme="9"/>
        </patternFill>
      </fill>
    </dxf>
    <dxf>
      <fill>
        <patternFill>
          <bgColor rgb="FFFFFF00"/>
        </patternFill>
      </fill>
    </dxf>
    <dxf>
      <fill>
        <patternFill>
          <bgColor rgb="FF66FF33"/>
        </patternFill>
      </fill>
    </dxf>
    <dxf>
      <fill>
        <patternFill>
          <bgColor rgb="FFFF5050"/>
        </patternFill>
      </fill>
    </dxf>
    <dxf>
      <fill>
        <patternFill>
          <bgColor rgb="FFFFFF00"/>
        </patternFill>
      </fill>
    </dxf>
    <dxf>
      <font>
        <color rgb="FF006100"/>
      </font>
      <fill>
        <patternFill>
          <bgColor rgb="FF66FF33"/>
        </patternFill>
      </fill>
    </dxf>
    <dxf>
      <font>
        <color rgb="FF9C0006"/>
      </font>
      <fill>
        <patternFill>
          <bgColor rgb="FFFF5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theme="9"/>
        </patternFill>
      </fill>
    </dxf>
    <dxf>
      <font>
        <color rgb="FF9C0006"/>
      </font>
      <fill>
        <patternFill>
          <bgColor rgb="FFFF5050"/>
        </patternFill>
      </fill>
    </dxf>
  </dxfs>
  <tableStyles count="0" defaultTableStyle="TableStyleMedium2" defaultPivotStyle="PivotStyleLight16"/>
  <colors>
    <mruColors>
      <color rgb="FFFF5050"/>
      <color rgb="FF66FF33"/>
      <color rgb="FF008000"/>
      <color rgb="FF649B3F"/>
      <color rgb="FF61953D"/>
      <color rgb="FF3F601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BMI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'Cohort summaries'!$B$4</c:f>
              <c:strCache>
                <c:ptCount val="1"/>
                <c:pt idx="0">
                  <c:v>2018 target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'Cohort summaries'!$C$3:$G$3</c:f>
              <c:strCache>
                <c:ptCount val="5"/>
                <c:pt idx="0">
                  <c:v>2017-Q1</c:v>
                </c:pt>
                <c:pt idx="1">
                  <c:v>2017-Q2</c:v>
                </c:pt>
                <c:pt idx="2">
                  <c:v>2017-Q3</c:v>
                </c:pt>
                <c:pt idx="3">
                  <c:v>2017-Q4</c:v>
                </c:pt>
                <c:pt idx="4">
                  <c:v>2018-Q1</c:v>
                </c:pt>
              </c:strCache>
            </c:strRef>
          </c:cat>
          <c:val>
            <c:numRef>
              <c:f>'Cohort summaries'!$C$4:$G$4</c:f>
              <c:numCache>
                <c:formatCode>General</c:formatCode>
                <c:ptCount val="5"/>
                <c:pt idx="0">
                  <c:v>76</c:v>
                </c:pt>
                <c:pt idx="1">
                  <c:v>76</c:v>
                </c:pt>
                <c:pt idx="2">
                  <c:v>76</c:v>
                </c:pt>
                <c:pt idx="3">
                  <c:v>76</c:v>
                </c:pt>
                <c:pt idx="4">
                  <c:v>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B33-4A38-9299-2F16C4379F03}"/>
            </c:ext>
          </c:extLst>
        </c:ser>
        <c:ser>
          <c:idx val="1"/>
          <c:order val="1"/>
          <c:tx>
            <c:strRef>
              <c:f>'Cohort summaries'!$B$5</c:f>
              <c:strCache>
                <c:ptCount val="1"/>
                <c:pt idx="0">
                  <c:v>1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'Cohort summaries'!$C$3:$G$3</c:f>
              <c:strCache>
                <c:ptCount val="5"/>
                <c:pt idx="0">
                  <c:v>2017-Q1</c:v>
                </c:pt>
                <c:pt idx="1">
                  <c:v>2017-Q2</c:v>
                </c:pt>
                <c:pt idx="2">
                  <c:v>2017-Q3</c:v>
                </c:pt>
                <c:pt idx="3">
                  <c:v>2017-Q4</c:v>
                </c:pt>
                <c:pt idx="4">
                  <c:v>2018-Q1</c:v>
                </c:pt>
              </c:strCache>
            </c:strRef>
          </c:cat>
          <c:val>
            <c:numRef>
              <c:f>'Cohort summaries'!$C$5:$G$5</c:f>
              <c:numCache>
                <c:formatCode>0.00</c:formatCode>
                <c:ptCount val="5"/>
                <c:pt idx="0">
                  <c:v>73.888888888888886</c:v>
                </c:pt>
                <c:pt idx="1">
                  <c:v>80</c:v>
                </c:pt>
                <c:pt idx="2">
                  <c:v>82.777777777777771</c:v>
                </c:pt>
                <c:pt idx="3">
                  <c:v>83.97999999999999</c:v>
                </c:pt>
                <c:pt idx="4">
                  <c:v>86.438888888888897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B33-4A38-9299-2F16C4379F03}"/>
            </c:ext>
          </c:extLst>
        </c:ser>
        <c:ser>
          <c:idx val="2"/>
          <c:order val="2"/>
          <c:tx>
            <c:strRef>
              <c:f>'Cohort summaries'!$B$6</c:f>
              <c:strCache>
                <c:ptCount val="1"/>
                <c:pt idx="0">
                  <c:v>2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'Cohort summaries'!$C$3:$G$3</c:f>
              <c:strCache>
                <c:ptCount val="5"/>
                <c:pt idx="0">
                  <c:v>2017-Q1</c:v>
                </c:pt>
                <c:pt idx="1">
                  <c:v>2017-Q2</c:v>
                </c:pt>
                <c:pt idx="2">
                  <c:v>2017-Q3</c:v>
                </c:pt>
                <c:pt idx="3">
                  <c:v>2017-Q4</c:v>
                </c:pt>
                <c:pt idx="4">
                  <c:v>2018-Q1</c:v>
                </c:pt>
              </c:strCache>
            </c:strRef>
          </c:cat>
          <c:val>
            <c:numRef>
              <c:f>'Cohort summaries'!$C$6:$G$6</c:f>
              <c:numCache>
                <c:formatCode>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82.251000000000005</c:v>
                </c:pt>
                <c:pt idx="4">
                  <c:v>82.267272727272726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B33-4A38-9299-2F16C4379F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3552768"/>
        <c:axId val="643574744"/>
      </c:lineChart>
      <c:catAx>
        <c:axId val="6435527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3574744"/>
        <c:crosses val="autoZero"/>
        <c:auto val="1"/>
        <c:lblAlgn val="ctr"/>
        <c:lblOffset val="100"/>
        <c:noMultiLvlLbl val="0"/>
      </c:catAx>
      <c:valAx>
        <c:axId val="6435747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35527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Office Staff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'Cohort summaries'!$T$76</c:f>
              <c:strCache>
                <c:ptCount val="1"/>
                <c:pt idx="0">
                  <c:v>Non-Medicaid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'Cohort summaries'!$U$74:$Y$74</c:f>
              <c:numCache>
                <c:formatCode>General</c:formatCode>
                <c:ptCount val="5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</c:numCache>
            </c:numRef>
          </c:cat>
          <c:val>
            <c:numRef>
              <c:f>'Cohort summaries'!$U$76:$Y$76</c:f>
              <c:numCache>
                <c:formatCode>0.00</c:formatCode>
                <c:ptCount val="5"/>
                <c:pt idx="0">
                  <c:v>66</c:v>
                </c:pt>
                <c:pt idx="1">
                  <c:v>0</c:v>
                </c:pt>
                <c:pt idx="2">
                  <c:v>72.400000000000006</c:v>
                </c:pt>
                <c:pt idx="3">
                  <c:v>83.97999999999999</c:v>
                </c:pt>
                <c:pt idx="4">
                  <c:v>81.218333333333334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9C9-4054-ACFE-F89D889AFBF7}"/>
            </c:ext>
          </c:extLst>
        </c:ser>
        <c:ser>
          <c:idx val="2"/>
          <c:order val="2"/>
          <c:tx>
            <c:strRef>
              <c:f>'Cohort summaries'!$T$77</c:f>
              <c:strCache>
                <c:ptCount val="1"/>
                <c:pt idx="0">
                  <c:v>Medicaid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'Cohort summaries'!$U$74:$Y$74</c:f>
              <c:numCache>
                <c:formatCode>General</c:formatCode>
                <c:ptCount val="5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</c:numCache>
            </c:numRef>
          </c:cat>
          <c:val>
            <c:numRef>
              <c:f>'Cohort summaries'!$U$77:$Y$77</c:f>
              <c:numCache>
                <c:formatCode>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70.075000000000003</c:v>
                </c:pt>
                <c:pt idx="4">
                  <c:v>67.72375000000001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9C9-4054-ACFE-F89D889AFB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88148168"/>
        <c:axId val="579285440"/>
      </c:barChart>
      <c:lineChart>
        <c:grouping val="standard"/>
        <c:varyColors val="0"/>
        <c:ser>
          <c:idx val="0"/>
          <c:order val="0"/>
          <c:tx>
            <c:strRef>
              <c:f>'Cohort summaries'!$T$75</c:f>
              <c:strCache>
                <c:ptCount val="1"/>
                <c:pt idx="0">
                  <c:v>2018 target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'Cohort summaries'!$U$74:$Y$74</c:f>
              <c:numCache>
                <c:formatCode>General</c:formatCode>
                <c:ptCount val="5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</c:numCache>
            </c:numRef>
          </c:cat>
          <c:val>
            <c:numRef>
              <c:f>'Cohort summaries'!$U$75:$Y$75</c:f>
              <c:numCache>
                <c:formatCode>General</c:formatCode>
                <c:ptCount val="5"/>
                <c:pt idx="0">
                  <c:v>75</c:v>
                </c:pt>
                <c:pt idx="1">
                  <c:v>75</c:v>
                </c:pt>
                <c:pt idx="2">
                  <c:v>75</c:v>
                </c:pt>
                <c:pt idx="3">
                  <c:v>75</c:v>
                </c:pt>
                <c:pt idx="4">
                  <c:v>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9C9-4054-ACFE-F89D889AFB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8148168"/>
        <c:axId val="579285440"/>
      </c:lineChart>
      <c:catAx>
        <c:axId val="5881481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9285440"/>
        <c:crosses val="autoZero"/>
        <c:auto val="1"/>
        <c:lblAlgn val="ctr"/>
        <c:lblOffset val="100"/>
        <c:noMultiLvlLbl val="0"/>
      </c:catAx>
      <c:valAx>
        <c:axId val="5792854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881481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'Cohort summaries'!$B$97</c:f>
              <c:strCache>
                <c:ptCount val="1"/>
                <c:pt idx="0">
                  <c:v>Met target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'Cohort summaries'!$C$96:$G$96</c:f>
              <c:strCache>
                <c:ptCount val="5"/>
                <c:pt idx="0">
                  <c:v>BMI</c:v>
                </c:pt>
                <c:pt idx="1">
                  <c:v>Developmental Screening</c:v>
                </c:pt>
                <c:pt idx="2">
                  <c:v>2 out of 2 QM</c:v>
                </c:pt>
                <c:pt idx="3">
                  <c:v>1 out of 2 QM</c:v>
                </c:pt>
                <c:pt idx="4">
                  <c:v>2 out of 3 CAHPS</c:v>
                </c:pt>
              </c:strCache>
            </c:strRef>
          </c:cat>
          <c:val>
            <c:numRef>
              <c:f>'Cohort summaries'!$C$97:$G$97</c:f>
              <c:numCache>
                <c:formatCode>General</c:formatCode>
                <c:ptCount val="5"/>
                <c:pt idx="0">
                  <c:v>18</c:v>
                </c:pt>
                <c:pt idx="1">
                  <c:v>17</c:v>
                </c:pt>
                <c:pt idx="2">
                  <c:v>16</c:v>
                </c:pt>
                <c:pt idx="3">
                  <c:v>3</c:v>
                </c:pt>
                <c:pt idx="4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A59-4260-8794-28B932AB9F77}"/>
            </c:ext>
          </c:extLst>
        </c:ser>
        <c:ser>
          <c:idx val="1"/>
          <c:order val="1"/>
          <c:tx>
            <c:strRef>
              <c:f>'Cohort summaries'!$B$98</c:f>
              <c:strCache>
                <c:ptCount val="1"/>
                <c:pt idx="0">
                  <c:v>Did not meet target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'Cohort summaries'!$C$96:$G$96</c:f>
              <c:strCache>
                <c:ptCount val="5"/>
                <c:pt idx="0">
                  <c:v>BMI</c:v>
                </c:pt>
                <c:pt idx="1">
                  <c:v>Developmental Screening</c:v>
                </c:pt>
                <c:pt idx="2">
                  <c:v>2 out of 2 QM</c:v>
                </c:pt>
                <c:pt idx="3">
                  <c:v>1 out of 2 QM</c:v>
                </c:pt>
                <c:pt idx="4">
                  <c:v>2 out of 3 CAHPS</c:v>
                </c:pt>
              </c:strCache>
            </c:strRef>
          </c:cat>
          <c:val>
            <c:numRef>
              <c:f>'Cohort summaries'!$C$98:$G$98</c:f>
              <c:numCache>
                <c:formatCode>0</c:formatCode>
                <c:ptCount val="5"/>
                <c:pt idx="0">
                  <c:v>2</c:v>
                </c:pt>
                <c:pt idx="1">
                  <c:v>3</c:v>
                </c:pt>
                <c:pt idx="2">
                  <c:v>0</c:v>
                </c:pt>
                <c:pt idx="4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A59-4260-8794-28B932AB9F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86228280"/>
        <c:axId val="686229592"/>
      </c:barChart>
      <c:catAx>
        <c:axId val="6862282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86229592"/>
        <c:crosses val="autoZero"/>
        <c:auto val="1"/>
        <c:lblAlgn val="ctr"/>
        <c:lblOffset val="100"/>
        <c:noMultiLvlLbl val="0"/>
      </c:catAx>
      <c:valAx>
        <c:axId val="6862295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862282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'Cohort summaries'!$J$97</c:f>
              <c:strCache>
                <c:ptCount val="1"/>
                <c:pt idx="0">
                  <c:v>Met target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'Cohort summaries'!$K$96:$N$96</c:f>
              <c:strCache>
                <c:ptCount val="4"/>
                <c:pt idx="0">
                  <c:v>Access</c:v>
                </c:pt>
                <c:pt idx="1">
                  <c:v>Communication</c:v>
                </c:pt>
                <c:pt idx="2">
                  <c:v>Office Staff</c:v>
                </c:pt>
                <c:pt idx="3">
                  <c:v>Met 2 out of 3</c:v>
                </c:pt>
              </c:strCache>
            </c:strRef>
          </c:cat>
          <c:val>
            <c:numRef>
              <c:f>'Cohort summaries'!$K$97:$N$97</c:f>
              <c:numCache>
                <c:formatCode>General</c:formatCode>
                <c:ptCount val="4"/>
                <c:pt idx="0">
                  <c:v>16</c:v>
                </c:pt>
                <c:pt idx="1">
                  <c:v>15</c:v>
                </c:pt>
                <c:pt idx="2">
                  <c:v>11</c:v>
                </c:pt>
                <c:pt idx="3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D32-4E53-B672-91ADA718F369}"/>
            </c:ext>
          </c:extLst>
        </c:ser>
        <c:ser>
          <c:idx val="1"/>
          <c:order val="1"/>
          <c:tx>
            <c:strRef>
              <c:f>'Cohort summaries'!$J$98</c:f>
              <c:strCache>
                <c:ptCount val="1"/>
                <c:pt idx="0">
                  <c:v>Did not meet target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'Cohort summaries'!$K$96:$N$96</c:f>
              <c:strCache>
                <c:ptCount val="4"/>
                <c:pt idx="0">
                  <c:v>Access</c:v>
                </c:pt>
                <c:pt idx="1">
                  <c:v>Communication</c:v>
                </c:pt>
                <c:pt idx="2">
                  <c:v>Office Staff</c:v>
                </c:pt>
                <c:pt idx="3">
                  <c:v>Met 2 out of 3</c:v>
                </c:pt>
              </c:strCache>
            </c:strRef>
          </c:cat>
          <c:val>
            <c:numRef>
              <c:f>'Cohort summaries'!$K$98:$N$98</c:f>
              <c:numCache>
                <c:formatCode>0</c:formatCode>
                <c:ptCount val="4"/>
                <c:pt idx="0">
                  <c:v>4</c:v>
                </c:pt>
                <c:pt idx="1">
                  <c:v>5</c:v>
                </c:pt>
                <c:pt idx="2">
                  <c:v>9</c:v>
                </c:pt>
                <c:pt idx="3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D32-4E53-B672-91ADA718F3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74342272"/>
        <c:axId val="674331776"/>
      </c:barChart>
      <c:catAx>
        <c:axId val="6743422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74331776"/>
        <c:crosses val="autoZero"/>
        <c:auto val="1"/>
        <c:lblAlgn val="ctr"/>
        <c:lblOffset val="100"/>
        <c:noMultiLvlLbl val="0"/>
      </c:catAx>
      <c:valAx>
        <c:axId val="6743317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743422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Developmental Screening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'Cohort summaries'!$J$4</c:f>
              <c:strCache>
                <c:ptCount val="1"/>
                <c:pt idx="0">
                  <c:v>2018 target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'Cohort summaries'!$K$3:$O$3</c:f>
              <c:strCache>
                <c:ptCount val="5"/>
                <c:pt idx="0">
                  <c:v>2017-Q1</c:v>
                </c:pt>
                <c:pt idx="1">
                  <c:v>2017-Q2</c:v>
                </c:pt>
                <c:pt idx="2">
                  <c:v>2017-Q3</c:v>
                </c:pt>
                <c:pt idx="3">
                  <c:v>2017-Q4</c:v>
                </c:pt>
                <c:pt idx="4">
                  <c:v>2018-Q1</c:v>
                </c:pt>
              </c:strCache>
            </c:strRef>
          </c:cat>
          <c:val>
            <c:numRef>
              <c:f>'Cohort summaries'!$K$4:$O$4</c:f>
              <c:numCache>
                <c:formatCode>General</c:formatCode>
                <c:ptCount val="5"/>
                <c:pt idx="0" formatCode="0.00">
                  <c:v>75</c:v>
                </c:pt>
                <c:pt idx="1">
                  <c:v>75</c:v>
                </c:pt>
                <c:pt idx="2">
                  <c:v>75</c:v>
                </c:pt>
                <c:pt idx="3">
                  <c:v>75</c:v>
                </c:pt>
                <c:pt idx="4">
                  <c:v>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7E1-4C86-AC16-789D4D10EEC0}"/>
            </c:ext>
          </c:extLst>
        </c:ser>
        <c:ser>
          <c:idx val="1"/>
          <c:order val="1"/>
          <c:tx>
            <c:strRef>
              <c:f>'Cohort summaries'!$J$5</c:f>
              <c:strCache>
                <c:ptCount val="1"/>
                <c:pt idx="0">
                  <c:v>1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'Cohort summaries'!$K$3:$O$3</c:f>
              <c:strCache>
                <c:ptCount val="5"/>
                <c:pt idx="0">
                  <c:v>2017-Q1</c:v>
                </c:pt>
                <c:pt idx="1">
                  <c:v>2017-Q2</c:v>
                </c:pt>
                <c:pt idx="2">
                  <c:v>2017-Q3</c:v>
                </c:pt>
                <c:pt idx="3">
                  <c:v>2017-Q4</c:v>
                </c:pt>
                <c:pt idx="4">
                  <c:v>2018-Q1</c:v>
                </c:pt>
              </c:strCache>
            </c:strRef>
          </c:cat>
          <c:val>
            <c:numRef>
              <c:f>'Cohort summaries'!$K$5:$O$5</c:f>
              <c:numCache>
                <c:formatCode>0.00</c:formatCode>
                <c:ptCount val="5"/>
                <c:pt idx="0">
                  <c:v>51.555555555555557</c:v>
                </c:pt>
                <c:pt idx="1">
                  <c:v>71.888888888888886</c:v>
                </c:pt>
                <c:pt idx="2">
                  <c:v>75.444444444444443</c:v>
                </c:pt>
                <c:pt idx="3">
                  <c:v>78.875555555555565</c:v>
                </c:pt>
                <c:pt idx="4">
                  <c:v>79.121111111111119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7E1-4C86-AC16-789D4D10EEC0}"/>
            </c:ext>
          </c:extLst>
        </c:ser>
        <c:ser>
          <c:idx val="2"/>
          <c:order val="2"/>
          <c:tx>
            <c:strRef>
              <c:f>'Cohort summaries'!$J$6</c:f>
              <c:strCache>
                <c:ptCount val="1"/>
                <c:pt idx="0">
                  <c:v>2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'Cohort summaries'!$K$3:$O$3</c:f>
              <c:strCache>
                <c:ptCount val="5"/>
                <c:pt idx="0">
                  <c:v>2017-Q1</c:v>
                </c:pt>
                <c:pt idx="1">
                  <c:v>2017-Q2</c:v>
                </c:pt>
                <c:pt idx="2">
                  <c:v>2017-Q3</c:v>
                </c:pt>
                <c:pt idx="3">
                  <c:v>2017-Q4</c:v>
                </c:pt>
                <c:pt idx="4">
                  <c:v>2018-Q1</c:v>
                </c:pt>
              </c:strCache>
            </c:strRef>
          </c:cat>
          <c:val>
            <c:numRef>
              <c:f>'Cohort summaries'!$K$6:$O$6</c:f>
              <c:numCache>
                <c:formatCode>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77.434999999999988</c:v>
                </c:pt>
                <c:pt idx="4">
                  <c:v>75.126363636363649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7E1-4C86-AC16-789D4D10EE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5346664"/>
        <c:axId val="585333544"/>
      </c:lineChart>
      <c:catAx>
        <c:axId val="5853466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85333544"/>
        <c:crosses val="autoZero"/>
        <c:auto val="1"/>
        <c:lblAlgn val="ctr"/>
        <c:lblOffset val="100"/>
        <c:noMultiLvlLbl val="0"/>
      </c:catAx>
      <c:valAx>
        <c:axId val="5853335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853466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Access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'Cohort summaries'!$B$27</c:f>
              <c:strCache>
                <c:ptCount val="1"/>
                <c:pt idx="0">
                  <c:v>2018 target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'Cohort summaries'!$C$26:$G$26</c:f>
              <c:numCache>
                <c:formatCode>General</c:formatCode>
                <c:ptCount val="5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</c:numCache>
            </c:numRef>
          </c:cat>
          <c:val>
            <c:numRef>
              <c:f>'Cohort summaries'!$C$27:$G$27</c:f>
              <c:numCache>
                <c:formatCode>General</c:formatCode>
                <c:ptCount val="5"/>
                <c:pt idx="0">
                  <c:v>79</c:v>
                </c:pt>
                <c:pt idx="1">
                  <c:v>79</c:v>
                </c:pt>
                <c:pt idx="2">
                  <c:v>79</c:v>
                </c:pt>
                <c:pt idx="3">
                  <c:v>79</c:v>
                </c:pt>
                <c:pt idx="4">
                  <c:v>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334-436D-AA57-39B16D39215A}"/>
            </c:ext>
          </c:extLst>
        </c:ser>
        <c:ser>
          <c:idx val="1"/>
          <c:order val="1"/>
          <c:tx>
            <c:strRef>
              <c:f>'Cohort summaries'!$B$28</c:f>
              <c:strCache>
                <c:ptCount val="1"/>
                <c:pt idx="0">
                  <c:v>1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'Cohort summaries'!$C$26:$G$26</c:f>
              <c:numCache>
                <c:formatCode>General</c:formatCode>
                <c:ptCount val="5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</c:numCache>
            </c:numRef>
          </c:cat>
          <c:val>
            <c:numRef>
              <c:f>'Cohort summaries'!$C$28:$G$28</c:f>
              <c:numCache>
                <c:formatCode>0.00</c:formatCode>
                <c:ptCount val="5"/>
                <c:pt idx="0">
                  <c:v>41.2</c:v>
                </c:pt>
                <c:pt idx="1">
                  <c:v>58.8</c:v>
                </c:pt>
                <c:pt idx="2">
                  <c:v>60.7</c:v>
                </c:pt>
                <c:pt idx="3">
                  <c:v>78.86666666666666</c:v>
                </c:pt>
                <c:pt idx="4">
                  <c:v>75.714444444444453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334-436D-AA57-39B16D39215A}"/>
            </c:ext>
          </c:extLst>
        </c:ser>
        <c:ser>
          <c:idx val="2"/>
          <c:order val="2"/>
          <c:tx>
            <c:strRef>
              <c:f>'Cohort summaries'!$B$29</c:f>
              <c:strCache>
                <c:ptCount val="1"/>
                <c:pt idx="0">
                  <c:v>2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'Cohort summaries'!$C$26:$G$26</c:f>
              <c:numCache>
                <c:formatCode>General</c:formatCode>
                <c:ptCount val="5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</c:numCache>
            </c:numRef>
          </c:cat>
          <c:val>
            <c:numRef>
              <c:f>'Cohort summaries'!$C$29:$G$29</c:f>
              <c:numCache>
                <c:formatCode>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85.43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334-436D-AA57-39B16D3921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1004528"/>
        <c:axId val="641006824"/>
      </c:lineChart>
      <c:catAx>
        <c:axId val="6410045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1006824"/>
        <c:crosses val="autoZero"/>
        <c:auto val="1"/>
        <c:lblAlgn val="ctr"/>
        <c:lblOffset val="100"/>
        <c:noMultiLvlLbl val="0"/>
      </c:catAx>
      <c:valAx>
        <c:axId val="641006824"/>
        <c:scaling>
          <c:orientation val="minMax"/>
          <c:min val="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10045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Communication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'Cohort summaries'!$K$27</c:f>
              <c:strCache>
                <c:ptCount val="1"/>
                <c:pt idx="0">
                  <c:v>2018 target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'Cohort summaries'!$L$26:$P$26</c:f>
              <c:numCache>
                <c:formatCode>General</c:formatCode>
                <c:ptCount val="5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</c:numCache>
            </c:numRef>
          </c:cat>
          <c:val>
            <c:numRef>
              <c:f>'Cohort summaries'!$L$27:$P$27</c:f>
              <c:numCache>
                <c:formatCode>General</c:formatCode>
                <c:ptCount val="5"/>
                <c:pt idx="0">
                  <c:v>90</c:v>
                </c:pt>
                <c:pt idx="1">
                  <c:v>90</c:v>
                </c:pt>
                <c:pt idx="2">
                  <c:v>90</c:v>
                </c:pt>
                <c:pt idx="3">
                  <c:v>90</c:v>
                </c:pt>
                <c:pt idx="4">
                  <c:v>90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00F-40D3-800D-F094F3C19C7E}"/>
            </c:ext>
          </c:extLst>
        </c:ser>
        <c:ser>
          <c:idx val="1"/>
          <c:order val="1"/>
          <c:tx>
            <c:strRef>
              <c:f>'Cohort summaries'!$K$28</c:f>
              <c:strCache>
                <c:ptCount val="1"/>
                <c:pt idx="0">
                  <c:v>1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'Cohort summaries'!$L$26:$P$26</c:f>
              <c:numCache>
                <c:formatCode>General</c:formatCode>
                <c:ptCount val="5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</c:numCache>
            </c:numRef>
          </c:cat>
          <c:val>
            <c:numRef>
              <c:f>'Cohort summaries'!$L$28:$P$28</c:f>
              <c:numCache>
                <c:formatCode>0.00</c:formatCode>
                <c:ptCount val="5"/>
                <c:pt idx="0">
                  <c:v>75.7</c:v>
                </c:pt>
                <c:pt idx="1">
                  <c:v>77.3</c:v>
                </c:pt>
                <c:pt idx="2">
                  <c:v>81</c:v>
                </c:pt>
                <c:pt idx="3">
                  <c:v>89.833333333333329</c:v>
                </c:pt>
                <c:pt idx="4">
                  <c:v>89.365555555555545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00F-40D3-800D-F094F3C19C7E}"/>
            </c:ext>
          </c:extLst>
        </c:ser>
        <c:ser>
          <c:idx val="2"/>
          <c:order val="2"/>
          <c:tx>
            <c:strRef>
              <c:f>'Cohort summaries'!$K$29</c:f>
              <c:strCache>
                <c:ptCount val="1"/>
                <c:pt idx="0">
                  <c:v>2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'Cohort summaries'!$L$26:$P$26</c:f>
              <c:numCache>
                <c:formatCode>General</c:formatCode>
                <c:ptCount val="5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</c:numCache>
            </c:numRef>
          </c:cat>
          <c:val>
            <c:numRef>
              <c:f>'Cohort summaries'!$L$29:$P$29</c:f>
              <c:numCache>
                <c:formatCode>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92.429999999999993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00F-40D3-800D-F094F3C19C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1000264"/>
        <c:axId val="640988128"/>
      </c:lineChart>
      <c:catAx>
        <c:axId val="6410002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0988128"/>
        <c:crosses val="autoZero"/>
        <c:auto val="1"/>
        <c:lblAlgn val="ctr"/>
        <c:lblOffset val="100"/>
        <c:noMultiLvlLbl val="0"/>
      </c:catAx>
      <c:valAx>
        <c:axId val="640988128"/>
        <c:scaling>
          <c:orientation val="minMax"/>
          <c:min val="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10002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Office Staff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'Cohort summaries'!$T$27</c:f>
              <c:strCache>
                <c:ptCount val="1"/>
                <c:pt idx="0">
                  <c:v>2018 target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'Cohort summaries'!$U$26:$Y$26</c:f>
              <c:numCache>
                <c:formatCode>General</c:formatCode>
                <c:ptCount val="5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</c:numCache>
            </c:numRef>
          </c:cat>
          <c:val>
            <c:numRef>
              <c:f>'Cohort summaries'!$U$27:$Y$27</c:f>
              <c:numCache>
                <c:formatCode>General</c:formatCode>
                <c:ptCount val="5"/>
                <c:pt idx="0">
                  <c:v>75</c:v>
                </c:pt>
                <c:pt idx="1">
                  <c:v>75</c:v>
                </c:pt>
                <c:pt idx="2">
                  <c:v>75</c:v>
                </c:pt>
                <c:pt idx="3">
                  <c:v>75</c:v>
                </c:pt>
                <c:pt idx="4">
                  <c:v>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BAA-4B60-903D-2BBEB0915948}"/>
            </c:ext>
          </c:extLst>
        </c:ser>
        <c:ser>
          <c:idx val="1"/>
          <c:order val="1"/>
          <c:tx>
            <c:strRef>
              <c:f>'Cohort summaries'!$T$28</c:f>
              <c:strCache>
                <c:ptCount val="1"/>
                <c:pt idx="0">
                  <c:v>1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'Cohort summaries'!$U$26:$Y$26</c:f>
              <c:numCache>
                <c:formatCode>General</c:formatCode>
                <c:ptCount val="5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</c:numCache>
            </c:numRef>
          </c:cat>
          <c:val>
            <c:numRef>
              <c:f>'Cohort summaries'!$U$28:$Y$28</c:f>
              <c:numCache>
                <c:formatCode>0.00</c:formatCode>
                <c:ptCount val="5"/>
                <c:pt idx="0">
                  <c:v>66</c:v>
                </c:pt>
                <c:pt idx="1">
                  <c:v>71.599999999999994</c:v>
                </c:pt>
                <c:pt idx="2">
                  <c:v>72.400000000000006</c:v>
                </c:pt>
                <c:pt idx="3">
                  <c:v>77.800000000000011</c:v>
                </c:pt>
                <c:pt idx="4">
                  <c:v>74.236666666666679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BAA-4B60-903D-2BBEB0915948}"/>
            </c:ext>
          </c:extLst>
        </c:ser>
        <c:ser>
          <c:idx val="2"/>
          <c:order val="2"/>
          <c:tx>
            <c:strRef>
              <c:f>'Cohort summaries'!$T$29</c:f>
              <c:strCache>
                <c:ptCount val="1"/>
                <c:pt idx="0">
                  <c:v>2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'Cohort summaries'!$U$26:$Y$26</c:f>
              <c:numCache>
                <c:formatCode>General</c:formatCode>
                <c:ptCount val="5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</c:numCache>
            </c:numRef>
          </c:cat>
          <c:val>
            <c:numRef>
              <c:f>'Cohort summaries'!$U$29:$Y$29</c:f>
              <c:numCache>
                <c:formatCode>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77.11636363636363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BAA-4B60-903D-2BBEB09159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3571792"/>
        <c:axId val="643570480"/>
      </c:lineChart>
      <c:catAx>
        <c:axId val="6435717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3570480"/>
        <c:crosses val="autoZero"/>
        <c:auto val="1"/>
        <c:lblAlgn val="ctr"/>
        <c:lblOffset val="100"/>
        <c:noMultiLvlLbl val="0"/>
      </c:catAx>
      <c:valAx>
        <c:axId val="643570480"/>
        <c:scaling>
          <c:orientation val="minMax"/>
          <c:min val="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35717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BMI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'Cohort summaries'!$B$54</c:f>
              <c:strCache>
                <c:ptCount val="1"/>
                <c:pt idx="0">
                  <c:v>Non-Medicaid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'Cohort summaries'!$C$52:$G$52</c:f>
              <c:strCache>
                <c:ptCount val="5"/>
                <c:pt idx="0">
                  <c:v>2017-Q1</c:v>
                </c:pt>
                <c:pt idx="1">
                  <c:v>2017-Q2</c:v>
                </c:pt>
                <c:pt idx="2">
                  <c:v>2017-Q3</c:v>
                </c:pt>
                <c:pt idx="3">
                  <c:v>2017-Q4</c:v>
                </c:pt>
                <c:pt idx="4">
                  <c:v>2018-Q1</c:v>
                </c:pt>
              </c:strCache>
            </c:strRef>
          </c:cat>
          <c:val>
            <c:numRef>
              <c:f>'Cohort summaries'!$C$54:$G$54</c:f>
              <c:numCache>
                <c:formatCode>0.00</c:formatCode>
                <c:ptCount val="5"/>
                <c:pt idx="0">
                  <c:v>80.333333333333329</c:v>
                </c:pt>
                <c:pt idx="1">
                  <c:v>85</c:v>
                </c:pt>
                <c:pt idx="2">
                  <c:v>85.666666666666671</c:v>
                </c:pt>
                <c:pt idx="3">
                  <c:v>87.215454545454534</c:v>
                </c:pt>
                <c:pt idx="4">
                  <c:v>87.522499999999994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C07-45CE-979E-AC88F347449C}"/>
            </c:ext>
          </c:extLst>
        </c:ser>
        <c:ser>
          <c:idx val="2"/>
          <c:order val="2"/>
          <c:tx>
            <c:strRef>
              <c:f>'Cohort summaries'!$B$55</c:f>
              <c:strCache>
                <c:ptCount val="1"/>
                <c:pt idx="0">
                  <c:v>Medicaid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'Cohort summaries'!$C$52:$G$52</c:f>
              <c:strCache>
                <c:ptCount val="5"/>
                <c:pt idx="0">
                  <c:v>2017-Q1</c:v>
                </c:pt>
                <c:pt idx="1">
                  <c:v>2017-Q2</c:v>
                </c:pt>
                <c:pt idx="2">
                  <c:v>2017-Q3</c:v>
                </c:pt>
                <c:pt idx="3">
                  <c:v>2017-Q4</c:v>
                </c:pt>
                <c:pt idx="4">
                  <c:v>2018-Q1</c:v>
                </c:pt>
              </c:strCache>
            </c:strRef>
          </c:cat>
          <c:val>
            <c:numRef>
              <c:f>'Cohort summaries'!$C$55:$G$55</c:f>
              <c:numCache>
                <c:formatCode>0.00</c:formatCode>
                <c:ptCount val="5"/>
                <c:pt idx="0">
                  <c:v>61</c:v>
                </c:pt>
                <c:pt idx="1">
                  <c:v>70</c:v>
                </c:pt>
                <c:pt idx="2">
                  <c:v>77</c:v>
                </c:pt>
                <c:pt idx="3">
                  <c:v>77.36999999999999</c:v>
                </c:pt>
                <c:pt idx="4">
                  <c:v>79.077500000000001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C07-45CE-979E-AC88F34744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85374544"/>
        <c:axId val="585318128"/>
      </c:barChart>
      <c:lineChart>
        <c:grouping val="standard"/>
        <c:varyColors val="0"/>
        <c:ser>
          <c:idx val="0"/>
          <c:order val="0"/>
          <c:tx>
            <c:strRef>
              <c:f>'Cohort summaries'!$B$53</c:f>
              <c:strCache>
                <c:ptCount val="1"/>
                <c:pt idx="0">
                  <c:v>2018 target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'Cohort summaries'!$C$52:$G$52</c:f>
              <c:strCache>
                <c:ptCount val="5"/>
                <c:pt idx="0">
                  <c:v>2017-Q1</c:v>
                </c:pt>
                <c:pt idx="1">
                  <c:v>2017-Q2</c:v>
                </c:pt>
                <c:pt idx="2">
                  <c:v>2017-Q3</c:v>
                </c:pt>
                <c:pt idx="3">
                  <c:v>2017-Q4</c:v>
                </c:pt>
                <c:pt idx="4">
                  <c:v>2018-Q1</c:v>
                </c:pt>
              </c:strCache>
            </c:strRef>
          </c:cat>
          <c:val>
            <c:numRef>
              <c:f>'Cohort summaries'!$C$53:$G$53</c:f>
              <c:numCache>
                <c:formatCode>General</c:formatCode>
                <c:ptCount val="5"/>
                <c:pt idx="0">
                  <c:v>95</c:v>
                </c:pt>
                <c:pt idx="1">
                  <c:v>95</c:v>
                </c:pt>
                <c:pt idx="2">
                  <c:v>95</c:v>
                </c:pt>
                <c:pt idx="3">
                  <c:v>95</c:v>
                </c:pt>
                <c:pt idx="4">
                  <c:v>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C07-45CE-979E-AC88F34744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5374544"/>
        <c:axId val="585318128"/>
      </c:lineChart>
      <c:catAx>
        <c:axId val="5853745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85318128"/>
        <c:crosses val="autoZero"/>
        <c:auto val="1"/>
        <c:lblAlgn val="ctr"/>
        <c:lblOffset val="100"/>
        <c:noMultiLvlLbl val="0"/>
      </c:catAx>
      <c:valAx>
        <c:axId val="5853181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853745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Developmental Screening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'Cohort summaries'!$K$54</c:f>
              <c:strCache>
                <c:ptCount val="1"/>
                <c:pt idx="0">
                  <c:v>Non-Medicaid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'Cohort summaries'!$L$52:$P$52</c:f>
              <c:strCache>
                <c:ptCount val="5"/>
                <c:pt idx="0">
                  <c:v>2017-Q1</c:v>
                </c:pt>
                <c:pt idx="1">
                  <c:v>2017-Q2</c:v>
                </c:pt>
                <c:pt idx="2">
                  <c:v>2017-Q3</c:v>
                </c:pt>
                <c:pt idx="3">
                  <c:v>2017-Q4</c:v>
                </c:pt>
                <c:pt idx="4">
                  <c:v>2018-Q1</c:v>
                </c:pt>
              </c:strCache>
            </c:strRef>
          </c:cat>
          <c:val>
            <c:numRef>
              <c:f>'Cohort summaries'!$L$54:$P$54</c:f>
              <c:numCache>
                <c:formatCode>0.00</c:formatCode>
                <c:ptCount val="5"/>
                <c:pt idx="0">
                  <c:v>66.333333333333329</c:v>
                </c:pt>
                <c:pt idx="1">
                  <c:v>76.333333333333329</c:v>
                </c:pt>
                <c:pt idx="2">
                  <c:v>78</c:v>
                </c:pt>
                <c:pt idx="3">
                  <c:v>86.260909090909081</c:v>
                </c:pt>
                <c:pt idx="4">
                  <c:v>84.501666666666679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714-44D2-8C80-227ECF43FCD2}"/>
            </c:ext>
          </c:extLst>
        </c:ser>
        <c:ser>
          <c:idx val="2"/>
          <c:order val="2"/>
          <c:tx>
            <c:strRef>
              <c:f>'Cohort summaries'!$K$55</c:f>
              <c:strCache>
                <c:ptCount val="1"/>
                <c:pt idx="0">
                  <c:v>Medicaid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'Cohort summaries'!$L$52:$P$52</c:f>
              <c:strCache>
                <c:ptCount val="5"/>
                <c:pt idx="0">
                  <c:v>2017-Q1</c:v>
                </c:pt>
                <c:pt idx="1">
                  <c:v>2017-Q2</c:v>
                </c:pt>
                <c:pt idx="2">
                  <c:v>2017-Q3</c:v>
                </c:pt>
                <c:pt idx="3">
                  <c:v>2017-Q4</c:v>
                </c:pt>
                <c:pt idx="4">
                  <c:v>2018-Q1</c:v>
                </c:pt>
              </c:strCache>
            </c:strRef>
          </c:cat>
          <c:val>
            <c:numRef>
              <c:f>'Cohort summaries'!$L$55:$P$55</c:f>
              <c:numCache>
                <c:formatCode>0.00</c:formatCode>
                <c:ptCount val="5"/>
                <c:pt idx="0">
                  <c:v>22</c:v>
                </c:pt>
                <c:pt idx="1">
                  <c:v>63</c:v>
                </c:pt>
                <c:pt idx="2">
                  <c:v>70.333333333333329</c:v>
                </c:pt>
                <c:pt idx="3">
                  <c:v>66.92</c:v>
                </c:pt>
                <c:pt idx="4">
                  <c:v>65.557500000000005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714-44D2-8C80-227ECF43FC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85325672"/>
        <c:axId val="585318784"/>
      </c:barChart>
      <c:lineChart>
        <c:grouping val="standard"/>
        <c:varyColors val="0"/>
        <c:ser>
          <c:idx val="0"/>
          <c:order val="0"/>
          <c:tx>
            <c:strRef>
              <c:f>'Cohort summaries'!$K$53</c:f>
              <c:strCache>
                <c:ptCount val="1"/>
                <c:pt idx="0">
                  <c:v>2018 target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'Cohort summaries'!$L$52:$P$52</c:f>
              <c:strCache>
                <c:ptCount val="5"/>
                <c:pt idx="0">
                  <c:v>2017-Q1</c:v>
                </c:pt>
                <c:pt idx="1">
                  <c:v>2017-Q2</c:v>
                </c:pt>
                <c:pt idx="2">
                  <c:v>2017-Q3</c:v>
                </c:pt>
                <c:pt idx="3">
                  <c:v>2017-Q4</c:v>
                </c:pt>
                <c:pt idx="4">
                  <c:v>2018-Q1</c:v>
                </c:pt>
              </c:strCache>
            </c:strRef>
          </c:cat>
          <c:val>
            <c:numRef>
              <c:f>'Cohort summaries'!$L$53:$P$53</c:f>
              <c:numCache>
                <c:formatCode>General</c:formatCode>
                <c:ptCount val="5"/>
                <c:pt idx="0" formatCode="0.00">
                  <c:v>80</c:v>
                </c:pt>
                <c:pt idx="1">
                  <c:v>80</c:v>
                </c:pt>
                <c:pt idx="2">
                  <c:v>80</c:v>
                </c:pt>
                <c:pt idx="3">
                  <c:v>80</c:v>
                </c:pt>
                <c:pt idx="4">
                  <c:v>80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714-44D2-8C80-227ECF43FC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5325672"/>
        <c:axId val="585318784"/>
      </c:lineChart>
      <c:catAx>
        <c:axId val="5853256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85318784"/>
        <c:crosses val="autoZero"/>
        <c:auto val="1"/>
        <c:lblAlgn val="ctr"/>
        <c:lblOffset val="100"/>
        <c:noMultiLvlLbl val="0"/>
      </c:catAx>
      <c:valAx>
        <c:axId val="5853187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853256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Access</a:t>
            </a:r>
          </a:p>
        </c:rich>
      </c:tx>
      <c:layout>
        <c:manualLayout>
          <c:xMode val="edge"/>
          <c:yMode val="edge"/>
          <c:x val="0.43449300087489068"/>
          <c:y val="4.16666666666666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'Cohort summaries'!$B$76</c:f>
              <c:strCache>
                <c:ptCount val="1"/>
                <c:pt idx="0">
                  <c:v>Non-Medicaid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'Cohort summaries'!$C$74:$G$74</c:f>
              <c:numCache>
                <c:formatCode>General</c:formatCode>
                <c:ptCount val="5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</c:numCache>
            </c:numRef>
          </c:cat>
          <c:val>
            <c:numRef>
              <c:f>'Cohort summaries'!$C$76:$G$76</c:f>
              <c:numCache>
                <c:formatCode>0.00</c:formatCode>
                <c:ptCount val="5"/>
                <c:pt idx="0">
                  <c:v>41.2</c:v>
                </c:pt>
                <c:pt idx="1">
                  <c:v>0</c:v>
                </c:pt>
                <c:pt idx="2">
                  <c:v>60.7</c:v>
                </c:pt>
                <c:pt idx="3">
                  <c:v>81.38000000000001</c:v>
                </c:pt>
                <c:pt idx="4">
                  <c:v>83.51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E9A-424F-ABB9-6D126AEF7888}"/>
            </c:ext>
          </c:extLst>
        </c:ser>
        <c:ser>
          <c:idx val="2"/>
          <c:order val="2"/>
          <c:tx>
            <c:strRef>
              <c:f>'Cohort summaries'!$B$77</c:f>
              <c:strCache>
                <c:ptCount val="1"/>
                <c:pt idx="0">
                  <c:v>Medicaid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'Cohort summaries'!$C$74:$G$74</c:f>
              <c:numCache>
                <c:formatCode>General</c:formatCode>
                <c:ptCount val="5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</c:numCache>
            </c:numRef>
          </c:cat>
          <c:val>
            <c:numRef>
              <c:f>'Cohort summaries'!$C$77:$G$77</c:f>
              <c:numCache>
                <c:formatCode>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75.724999999999994</c:v>
                </c:pt>
                <c:pt idx="4">
                  <c:v>77.38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E9A-424F-ABB9-6D126AEF78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76008160"/>
        <c:axId val="576009472"/>
      </c:barChart>
      <c:lineChart>
        <c:grouping val="standard"/>
        <c:varyColors val="0"/>
        <c:ser>
          <c:idx val="0"/>
          <c:order val="0"/>
          <c:tx>
            <c:strRef>
              <c:f>'Cohort summaries'!$B$75</c:f>
              <c:strCache>
                <c:ptCount val="1"/>
                <c:pt idx="0">
                  <c:v>2018 target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'Cohort summaries'!$C$74:$G$74</c:f>
              <c:numCache>
                <c:formatCode>General</c:formatCode>
                <c:ptCount val="5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</c:numCache>
            </c:numRef>
          </c:cat>
          <c:val>
            <c:numRef>
              <c:f>'Cohort summaries'!$C$75:$G$75</c:f>
              <c:numCache>
                <c:formatCode>General</c:formatCode>
                <c:ptCount val="5"/>
                <c:pt idx="0">
                  <c:v>79</c:v>
                </c:pt>
                <c:pt idx="1">
                  <c:v>79</c:v>
                </c:pt>
                <c:pt idx="2">
                  <c:v>79</c:v>
                </c:pt>
                <c:pt idx="3">
                  <c:v>79</c:v>
                </c:pt>
                <c:pt idx="4">
                  <c:v>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E9A-424F-ABB9-6D126AEF78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76008160"/>
        <c:axId val="576009472"/>
      </c:lineChart>
      <c:catAx>
        <c:axId val="5760081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6009472"/>
        <c:crosses val="autoZero"/>
        <c:auto val="1"/>
        <c:lblAlgn val="ctr"/>
        <c:lblOffset val="100"/>
        <c:noMultiLvlLbl val="0"/>
      </c:catAx>
      <c:valAx>
        <c:axId val="5760094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60081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Communication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'Cohort summaries'!$K$76</c:f>
              <c:strCache>
                <c:ptCount val="1"/>
                <c:pt idx="0">
                  <c:v>Non-Medicaid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'Cohort summaries'!$L$74:$P$74</c:f>
              <c:numCache>
                <c:formatCode>General</c:formatCode>
                <c:ptCount val="5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</c:numCache>
            </c:numRef>
          </c:cat>
          <c:val>
            <c:numRef>
              <c:f>'Cohort summaries'!$L$76:$P$76</c:f>
              <c:numCache>
                <c:formatCode>0.00</c:formatCode>
                <c:ptCount val="5"/>
                <c:pt idx="0">
                  <c:v>75.7</c:v>
                </c:pt>
                <c:pt idx="1">
                  <c:v>0</c:v>
                </c:pt>
                <c:pt idx="2">
                  <c:v>81</c:v>
                </c:pt>
                <c:pt idx="3">
                  <c:v>92.47999999999999</c:v>
                </c:pt>
                <c:pt idx="4">
                  <c:v>92.18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06E-4418-8294-F4499F01F5BC}"/>
            </c:ext>
          </c:extLst>
        </c:ser>
        <c:ser>
          <c:idx val="2"/>
          <c:order val="2"/>
          <c:tx>
            <c:strRef>
              <c:f>'Cohort summaries'!$K$77</c:f>
              <c:strCache>
                <c:ptCount val="1"/>
                <c:pt idx="0">
                  <c:v>Medicaid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'Cohort summaries'!$L$74:$P$74</c:f>
              <c:numCache>
                <c:formatCode>General</c:formatCode>
                <c:ptCount val="5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</c:numCache>
            </c:numRef>
          </c:cat>
          <c:val>
            <c:numRef>
              <c:f>'Cohort summaries'!$L$77:$P$77</c:f>
              <c:numCache>
                <c:formatCode>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86.525000000000006</c:v>
                </c:pt>
                <c:pt idx="4">
                  <c:v>89.357499999999987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06E-4418-8294-F4499F01F5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70896400"/>
        <c:axId val="670895088"/>
      </c:barChart>
      <c:lineChart>
        <c:grouping val="standard"/>
        <c:varyColors val="0"/>
        <c:ser>
          <c:idx val="0"/>
          <c:order val="0"/>
          <c:tx>
            <c:strRef>
              <c:f>'Cohort summaries'!$K$75</c:f>
              <c:strCache>
                <c:ptCount val="1"/>
                <c:pt idx="0">
                  <c:v>2018 target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'Cohort summaries'!$L$74:$P$74</c:f>
              <c:numCache>
                <c:formatCode>General</c:formatCode>
                <c:ptCount val="5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</c:numCache>
            </c:numRef>
          </c:cat>
          <c:val>
            <c:numRef>
              <c:f>'Cohort summaries'!$L$75:$P$75</c:f>
              <c:numCache>
                <c:formatCode>General</c:formatCode>
                <c:ptCount val="5"/>
                <c:pt idx="0">
                  <c:v>90</c:v>
                </c:pt>
                <c:pt idx="1">
                  <c:v>90</c:v>
                </c:pt>
                <c:pt idx="2">
                  <c:v>90</c:v>
                </c:pt>
                <c:pt idx="3">
                  <c:v>90</c:v>
                </c:pt>
                <c:pt idx="4">
                  <c:v>90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06E-4418-8294-F4499F01F5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0896400"/>
        <c:axId val="670895088"/>
      </c:lineChart>
      <c:catAx>
        <c:axId val="6708964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70895088"/>
        <c:crosses val="autoZero"/>
        <c:auto val="1"/>
        <c:lblAlgn val="ctr"/>
        <c:lblOffset val="100"/>
        <c:noMultiLvlLbl val="0"/>
      </c:catAx>
      <c:valAx>
        <c:axId val="6708950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708964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7</xdr:row>
      <xdr:rowOff>138112</xdr:rowOff>
    </xdr:from>
    <xdr:to>
      <xdr:col>7</xdr:col>
      <xdr:colOff>514350</xdr:colOff>
      <xdr:row>22</xdr:row>
      <xdr:rowOff>23812</xdr:rowOff>
    </xdr:to>
    <xdr:graphicFrame macro="">
      <xdr:nvGraphicFramePr>
        <xdr:cNvPr id="19" name="Chart 18">
          <a:extLst>
            <a:ext uri="{FF2B5EF4-FFF2-40B4-BE49-F238E27FC236}">
              <a16:creationId xmlns:a16="http://schemas.microsoft.com/office/drawing/2014/main" id="{EB811A8F-3A6F-4BAC-9E3F-92DD413AF66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485775</xdr:colOff>
      <xdr:row>7</xdr:row>
      <xdr:rowOff>109537</xdr:rowOff>
    </xdr:from>
    <xdr:to>
      <xdr:col>16</xdr:col>
      <xdr:colOff>180975</xdr:colOff>
      <xdr:row>21</xdr:row>
      <xdr:rowOff>185737</xdr:rowOff>
    </xdr:to>
    <xdr:graphicFrame macro="">
      <xdr:nvGraphicFramePr>
        <xdr:cNvPr id="20" name="Chart 19">
          <a:extLst>
            <a:ext uri="{FF2B5EF4-FFF2-40B4-BE49-F238E27FC236}">
              <a16:creationId xmlns:a16="http://schemas.microsoft.com/office/drawing/2014/main" id="{B7F5B4BF-A8D1-48E1-98D7-8EC636F9CCB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190500</xdr:colOff>
      <xdr:row>30</xdr:row>
      <xdr:rowOff>176212</xdr:rowOff>
    </xdr:from>
    <xdr:to>
      <xdr:col>7</xdr:col>
      <xdr:colOff>495300</xdr:colOff>
      <xdr:row>45</xdr:row>
      <xdr:rowOff>61912</xdr:rowOff>
    </xdr:to>
    <xdr:graphicFrame macro="">
      <xdr:nvGraphicFramePr>
        <xdr:cNvPr id="21" name="Chart 20">
          <a:extLst>
            <a:ext uri="{FF2B5EF4-FFF2-40B4-BE49-F238E27FC236}">
              <a16:creationId xmlns:a16="http://schemas.microsoft.com/office/drawing/2014/main" id="{B0D49D2E-000C-4DA3-A7D2-502C4B7999B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0</xdr:colOff>
      <xdr:row>31</xdr:row>
      <xdr:rowOff>23812</xdr:rowOff>
    </xdr:from>
    <xdr:to>
      <xdr:col>16</xdr:col>
      <xdr:colOff>304800</xdr:colOff>
      <xdr:row>45</xdr:row>
      <xdr:rowOff>100012</xdr:rowOff>
    </xdr:to>
    <xdr:graphicFrame macro="">
      <xdr:nvGraphicFramePr>
        <xdr:cNvPr id="22" name="Chart 21">
          <a:extLst>
            <a:ext uri="{FF2B5EF4-FFF2-40B4-BE49-F238E27FC236}">
              <a16:creationId xmlns:a16="http://schemas.microsoft.com/office/drawing/2014/main" id="{7CF5B8ED-FD8F-4C55-B807-7B014586463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17</xdr:col>
      <xdr:colOff>523875</xdr:colOff>
      <xdr:row>31</xdr:row>
      <xdr:rowOff>4762</xdr:rowOff>
    </xdr:from>
    <xdr:to>
      <xdr:col>25</xdr:col>
      <xdr:colOff>219075</xdr:colOff>
      <xdr:row>45</xdr:row>
      <xdr:rowOff>80962</xdr:rowOff>
    </xdr:to>
    <xdr:graphicFrame macro="">
      <xdr:nvGraphicFramePr>
        <xdr:cNvPr id="23" name="Chart 22">
          <a:extLst>
            <a:ext uri="{FF2B5EF4-FFF2-40B4-BE49-F238E27FC236}">
              <a16:creationId xmlns:a16="http://schemas.microsoft.com/office/drawing/2014/main" id="{15280343-D52C-4D81-AABC-A05FCE3CC19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123825</xdr:colOff>
      <xdr:row>57</xdr:row>
      <xdr:rowOff>14287</xdr:rowOff>
    </xdr:from>
    <xdr:to>
      <xdr:col>7</xdr:col>
      <xdr:colOff>428625</xdr:colOff>
      <xdr:row>71</xdr:row>
      <xdr:rowOff>90487</xdr:rowOff>
    </xdr:to>
    <xdr:graphicFrame macro="">
      <xdr:nvGraphicFramePr>
        <xdr:cNvPr id="24" name="Chart 23">
          <a:extLst>
            <a:ext uri="{FF2B5EF4-FFF2-40B4-BE49-F238E27FC236}">
              <a16:creationId xmlns:a16="http://schemas.microsoft.com/office/drawing/2014/main" id="{D908989B-077B-48E2-89ED-D3222F5E8C3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8</xdr:col>
      <xdr:colOff>590550</xdr:colOff>
      <xdr:row>57</xdr:row>
      <xdr:rowOff>4762</xdr:rowOff>
    </xdr:from>
    <xdr:to>
      <xdr:col>16</xdr:col>
      <xdr:colOff>285750</xdr:colOff>
      <xdr:row>71</xdr:row>
      <xdr:rowOff>80962</xdr:rowOff>
    </xdr:to>
    <xdr:graphicFrame macro="">
      <xdr:nvGraphicFramePr>
        <xdr:cNvPr id="25" name="Chart 24">
          <a:extLst>
            <a:ext uri="{FF2B5EF4-FFF2-40B4-BE49-F238E27FC236}">
              <a16:creationId xmlns:a16="http://schemas.microsoft.com/office/drawing/2014/main" id="{53A6E3D8-6BBD-4F21-B75E-9D0055776E8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76200</xdr:colOff>
      <xdr:row>79</xdr:row>
      <xdr:rowOff>119062</xdr:rowOff>
    </xdr:from>
    <xdr:to>
      <xdr:col>7</xdr:col>
      <xdr:colOff>381000</xdr:colOff>
      <xdr:row>93</xdr:row>
      <xdr:rowOff>195262</xdr:rowOff>
    </xdr:to>
    <xdr:graphicFrame macro="">
      <xdr:nvGraphicFramePr>
        <xdr:cNvPr id="26" name="Chart 25">
          <a:extLst>
            <a:ext uri="{FF2B5EF4-FFF2-40B4-BE49-F238E27FC236}">
              <a16:creationId xmlns:a16="http://schemas.microsoft.com/office/drawing/2014/main" id="{85B76B0C-5B3B-46A3-9C62-9CE98E093DE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8</xdr:col>
      <xdr:colOff>419100</xdr:colOff>
      <xdr:row>79</xdr:row>
      <xdr:rowOff>90487</xdr:rowOff>
    </xdr:from>
    <xdr:to>
      <xdr:col>16</xdr:col>
      <xdr:colOff>114300</xdr:colOff>
      <xdr:row>93</xdr:row>
      <xdr:rowOff>166687</xdr:rowOff>
    </xdr:to>
    <xdr:graphicFrame macro="">
      <xdr:nvGraphicFramePr>
        <xdr:cNvPr id="27" name="Chart 26">
          <a:extLst>
            <a:ext uri="{FF2B5EF4-FFF2-40B4-BE49-F238E27FC236}">
              <a16:creationId xmlns:a16="http://schemas.microsoft.com/office/drawing/2014/main" id="{CD15D021-2411-4F64-A59F-19029A03ED3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17</xdr:col>
      <xdr:colOff>476250</xdr:colOff>
      <xdr:row>78</xdr:row>
      <xdr:rowOff>147637</xdr:rowOff>
    </xdr:from>
    <xdr:to>
      <xdr:col>25</xdr:col>
      <xdr:colOff>171450</xdr:colOff>
      <xdr:row>93</xdr:row>
      <xdr:rowOff>33337</xdr:rowOff>
    </xdr:to>
    <xdr:graphicFrame macro="">
      <xdr:nvGraphicFramePr>
        <xdr:cNvPr id="28" name="Chart 27">
          <a:extLst>
            <a:ext uri="{FF2B5EF4-FFF2-40B4-BE49-F238E27FC236}">
              <a16:creationId xmlns:a16="http://schemas.microsoft.com/office/drawing/2014/main" id="{BFEDB4BC-036E-4D82-B3E8-BFE4DC8AE63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</xdr:col>
      <xdr:colOff>57150</xdr:colOff>
      <xdr:row>99</xdr:row>
      <xdr:rowOff>133350</xdr:rowOff>
    </xdr:from>
    <xdr:to>
      <xdr:col>7</xdr:col>
      <xdr:colOff>600075</xdr:colOff>
      <xdr:row>114</xdr:row>
      <xdr:rowOff>19050</xdr:rowOff>
    </xdr:to>
    <xdr:graphicFrame macro="">
      <xdr:nvGraphicFramePr>
        <xdr:cNvPr id="30" name="Chart 29">
          <a:extLst>
            <a:ext uri="{FF2B5EF4-FFF2-40B4-BE49-F238E27FC236}">
              <a16:creationId xmlns:a16="http://schemas.microsoft.com/office/drawing/2014/main" id="{F97FE25A-E961-4966-9AE1-C58D64D8CF2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8</xdr:col>
      <xdr:colOff>590550</xdr:colOff>
      <xdr:row>99</xdr:row>
      <xdr:rowOff>114300</xdr:rowOff>
    </xdr:from>
    <xdr:to>
      <xdr:col>16</xdr:col>
      <xdr:colOff>285750</xdr:colOff>
      <xdr:row>114</xdr:row>
      <xdr:rowOff>0</xdr:rowOff>
    </xdr:to>
    <xdr:graphicFrame macro="">
      <xdr:nvGraphicFramePr>
        <xdr:cNvPr id="31" name="Chart 30">
          <a:extLst>
            <a:ext uri="{FF2B5EF4-FFF2-40B4-BE49-F238E27FC236}">
              <a16:creationId xmlns:a16="http://schemas.microsoft.com/office/drawing/2014/main" id="{0F60438B-3CCF-42D8-A4F8-100EB367A7B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219"/>
  <sheetViews>
    <sheetView showGridLines="0" topLeftCell="A204" workbookViewId="0">
      <selection activeCell="B215" sqref="B215:B219"/>
    </sheetView>
  </sheetViews>
  <sheetFormatPr defaultRowHeight="15" x14ac:dyDescent="0.25"/>
  <cols>
    <col min="1" max="2" width="36.5703125" style="16" bestFit="1" customWidth="1"/>
    <col min="3" max="3" width="13.5703125" style="16" bestFit="1" customWidth="1"/>
    <col min="4" max="4" width="18" style="16" bestFit="1" customWidth="1"/>
    <col min="5" max="5" width="9.42578125" style="16" bestFit="1" customWidth="1"/>
    <col min="6" max="6" width="8" style="16" bestFit="1" customWidth="1"/>
    <col min="7" max="7" width="17.42578125" style="16" bestFit="1" customWidth="1"/>
    <col min="8" max="8" width="22.85546875" style="16" bestFit="1" customWidth="1"/>
    <col min="9" max="9" width="15" style="16" bestFit="1" customWidth="1"/>
    <col min="10" max="10" width="18.85546875" style="16" bestFit="1" customWidth="1"/>
    <col min="11" max="11" width="18.42578125" style="16" bestFit="1" customWidth="1"/>
    <col min="12" max="12" width="16.7109375" style="16" bestFit="1" customWidth="1"/>
    <col min="13" max="13" width="16.42578125" style="16" bestFit="1" customWidth="1"/>
    <col min="14" max="14" width="36.5703125" style="16" bestFit="1" customWidth="1"/>
    <col min="15" max="15" width="30.85546875" style="16" bestFit="1" customWidth="1"/>
    <col min="16" max="16" width="13.28515625" style="16" bestFit="1" customWidth="1"/>
    <col min="17" max="16384" width="9.140625" style="16"/>
  </cols>
  <sheetData>
    <row r="1" spans="1:16" x14ac:dyDescent="0.25">
      <c r="A1" s="17" t="s">
        <v>14</v>
      </c>
      <c r="B1" s="17" t="s">
        <v>0</v>
      </c>
      <c r="C1" s="17" t="s">
        <v>1</v>
      </c>
      <c r="D1" s="17" t="s">
        <v>2</v>
      </c>
      <c r="E1" s="17" t="s">
        <v>3</v>
      </c>
      <c r="F1" s="17" t="s">
        <v>4</v>
      </c>
      <c r="G1" s="17" t="s">
        <v>5</v>
      </c>
      <c r="H1" s="17" t="s">
        <v>6</v>
      </c>
      <c r="I1" s="17" t="s">
        <v>7</v>
      </c>
      <c r="J1" s="17" t="s">
        <v>8</v>
      </c>
      <c r="K1" s="17" t="s">
        <v>79</v>
      </c>
      <c r="L1" s="17" t="s">
        <v>9</v>
      </c>
      <c r="M1" s="17" t="s">
        <v>10</v>
      </c>
      <c r="N1" s="17" t="s">
        <v>11</v>
      </c>
      <c r="O1" s="17" t="s">
        <v>12</v>
      </c>
      <c r="P1" s="17" t="s">
        <v>13</v>
      </c>
    </row>
    <row r="2" spans="1:16" x14ac:dyDescent="0.25">
      <c r="A2" s="19" t="s">
        <v>84</v>
      </c>
      <c r="B2" s="19" t="s">
        <v>80</v>
      </c>
      <c r="C2" s="19" t="s">
        <v>31</v>
      </c>
      <c r="D2" s="19" t="s">
        <v>26</v>
      </c>
      <c r="E2" s="21">
        <v>42370</v>
      </c>
      <c r="F2" s="18"/>
      <c r="G2" s="19" t="s">
        <v>34</v>
      </c>
      <c r="H2" s="19" t="s">
        <v>30</v>
      </c>
      <c r="I2" s="19" t="s">
        <v>48</v>
      </c>
      <c r="J2" s="19" t="s">
        <v>29</v>
      </c>
      <c r="K2" s="18"/>
      <c r="L2" s="19" t="s">
        <v>132</v>
      </c>
      <c r="M2" s="19" t="s">
        <v>133</v>
      </c>
      <c r="N2" s="19" t="s">
        <v>134</v>
      </c>
      <c r="O2" s="19" t="s">
        <v>135</v>
      </c>
      <c r="P2" s="18"/>
    </row>
    <row r="3" spans="1:16" x14ac:dyDescent="0.25">
      <c r="A3" s="19" t="s">
        <v>84</v>
      </c>
      <c r="B3" s="19" t="s">
        <v>80</v>
      </c>
      <c r="C3" s="19" t="s">
        <v>31</v>
      </c>
      <c r="D3" s="19" t="s">
        <v>26</v>
      </c>
      <c r="E3" s="21">
        <v>42370</v>
      </c>
      <c r="F3" s="18"/>
      <c r="G3" s="19" t="s">
        <v>34</v>
      </c>
      <c r="H3" s="19" t="s">
        <v>30</v>
      </c>
      <c r="I3" s="19" t="s">
        <v>48</v>
      </c>
      <c r="J3" s="19" t="s">
        <v>29</v>
      </c>
      <c r="K3" s="18"/>
      <c r="L3" s="19" t="s">
        <v>136</v>
      </c>
      <c r="M3" s="19" t="s">
        <v>137</v>
      </c>
      <c r="N3" s="18"/>
      <c r="O3" s="19" t="s">
        <v>138</v>
      </c>
      <c r="P3" s="18"/>
    </row>
    <row r="4" spans="1:16" x14ac:dyDescent="0.25">
      <c r="A4" s="19" t="s">
        <v>84</v>
      </c>
      <c r="B4" s="19" t="s">
        <v>80</v>
      </c>
      <c r="C4" s="19" t="s">
        <v>31</v>
      </c>
      <c r="D4" s="19" t="s">
        <v>26</v>
      </c>
      <c r="E4" s="21">
        <v>42370</v>
      </c>
      <c r="F4" s="18"/>
      <c r="G4" s="19" t="s">
        <v>34</v>
      </c>
      <c r="H4" s="19" t="s">
        <v>30</v>
      </c>
      <c r="I4" s="19" t="s">
        <v>48</v>
      </c>
      <c r="J4" s="19" t="s">
        <v>29</v>
      </c>
      <c r="K4" s="18"/>
      <c r="L4" s="19" t="s">
        <v>139</v>
      </c>
      <c r="M4" s="19" t="s">
        <v>140</v>
      </c>
      <c r="N4" s="19" t="s">
        <v>141</v>
      </c>
      <c r="O4" s="19" t="s">
        <v>142</v>
      </c>
      <c r="P4" s="18"/>
    </row>
    <row r="5" spans="1:16" x14ac:dyDescent="0.25">
      <c r="A5" s="19" t="s">
        <v>84</v>
      </c>
      <c r="B5" s="19" t="s">
        <v>80</v>
      </c>
      <c r="C5" s="19" t="s">
        <v>31</v>
      </c>
      <c r="D5" s="19" t="s">
        <v>26</v>
      </c>
      <c r="E5" s="21">
        <v>42370</v>
      </c>
      <c r="F5" s="18"/>
      <c r="G5" s="19" t="s">
        <v>34</v>
      </c>
      <c r="H5" s="19" t="s">
        <v>30</v>
      </c>
      <c r="I5" s="19" t="s">
        <v>48</v>
      </c>
      <c r="J5" s="19" t="s">
        <v>29</v>
      </c>
      <c r="K5" s="18"/>
      <c r="L5" s="19" t="s">
        <v>143</v>
      </c>
      <c r="M5" s="19" t="s">
        <v>144</v>
      </c>
      <c r="N5" s="19" t="s">
        <v>145</v>
      </c>
      <c r="O5" s="19" t="s">
        <v>146</v>
      </c>
      <c r="P5" s="18"/>
    </row>
    <row r="6" spans="1:16" x14ac:dyDescent="0.25">
      <c r="A6" s="19" t="s">
        <v>84</v>
      </c>
      <c r="B6" s="19" t="s">
        <v>80</v>
      </c>
      <c r="C6" s="19" t="s">
        <v>31</v>
      </c>
      <c r="D6" s="19" t="s">
        <v>26</v>
      </c>
      <c r="E6" s="21">
        <v>42370</v>
      </c>
      <c r="F6" s="18"/>
      <c r="G6" s="19" t="s">
        <v>34</v>
      </c>
      <c r="H6" s="19" t="s">
        <v>30</v>
      </c>
      <c r="I6" s="19" t="s">
        <v>48</v>
      </c>
      <c r="J6" s="19" t="s">
        <v>29</v>
      </c>
      <c r="K6" s="18"/>
      <c r="L6" s="19" t="s">
        <v>147</v>
      </c>
      <c r="M6" s="19" t="s">
        <v>148</v>
      </c>
      <c r="N6" s="19" t="s">
        <v>134</v>
      </c>
      <c r="O6" s="18"/>
      <c r="P6" s="18"/>
    </row>
    <row r="7" spans="1:16" x14ac:dyDescent="0.25">
      <c r="A7" s="19" t="s">
        <v>84</v>
      </c>
      <c r="B7" s="19" t="s">
        <v>80</v>
      </c>
      <c r="C7" s="19" t="s">
        <v>31</v>
      </c>
      <c r="D7" s="19" t="s">
        <v>26</v>
      </c>
      <c r="E7" s="21">
        <v>42370</v>
      </c>
      <c r="F7" s="18"/>
      <c r="G7" s="19" t="s">
        <v>34</v>
      </c>
      <c r="H7" s="19" t="s">
        <v>30</v>
      </c>
      <c r="I7" s="19" t="s">
        <v>48</v>
      </c>
      <c r="J7" s="19" t="s">
        <v>29</v>
      </c>
      <c r="K7" s="18"/>
      <c r="L7" s="19" t="s">
        <v>149</v>
      </c>
      <c r="M7" s="19" t="s">
        <v>150</v>
      </c>
      <c r="N7" s="19" t="s">
        <v>134</v>
      </c>
      <c r="O7" s="18"/>
      <c r="P7" s="18"/>
    </row>
    <row r="8" spans="1:16" x14ac:dyDescent="0.25">
      <c r="A8" s="19" t="s">
        <v>84</v>
      </c>
      <c r="B8" s="19" t="s">
        <v>80</v>
      </c>
      <c r="C8" s="19" t="s">
        <v>31</v>
      </c>
      <c r="D8" s="19" t="s">
        <v>26</v>
      </c>
      <c r="E8" s="21">
        <v>42370</v>
      </c>
      <c r="F8" s="18"/>
      <c r="G8" s="19" t="s">
        <v>34</v>
      </c>
      <c r="H8" s="19" t="s">
        <v>30</v>
      </c>
      <c r="I8" s="19" t="s">
        <v>48</v>
      </c>
      <c r="J8" s="19" t="s">
        <v>29</v>
      </c>
      <c r="K8" s="18"/>
      <c r="L8" s="19" t="s">
        <v>151</v>
      </c>
      <c r="M8" s="19" t="s">
        <v>152</v>
      </c>
      <c r="N8" s="19" t="s">
        <v>134</v>
      </c>
      <c r="O8" s="18"/>
      <c r="P8" s="18"/>
    </row>
    <row r="9" spans="1:16" x14ac:dyDescent="0.25">
      <c r="A9" s="19" t="s">
        <v>84</v>
      </c>
      <c r="B9" s="19" t="s">
        <v>80</v>
      </c>
      <c r="C9" s="19" t="s">
        <v>31</v>
      </c>
      <c r="D9" s="19" t="s">
        <v>26</v>
      </c>
      <c r="E9" s="21">
        <v>42370</v>
      </c>
      <c r="F9" s="18"/>
      <c r="G9" s="19" t="s">
        <v>34</v>
      </c>
      <c r="H9" s="19" t="s">
        <v>30</v>
      </c>
      <c r="I9" s="19" t="s">
        <v>48</v>
      </c>
      <c r="J9" s="19" t="s">
        <v>29</v>
      </c>
      <c r="K9" s="18"/>
      <c r="L9" s="19" t="s">
        <v>153</v>
      </c>
      <c r="M9" s="19" t="s">
        <v>154</v>
      </c>
      <c r="N9" s="19" t="s">
        <v>134</v>
      </c>
      <c r="O9" s="18"/>
      <c r="P9" s="18"/>
    </row>
    <row r="10" spans="1:16" x14ac:dyDescent="0.25">
      <c r="A10" s="19" t="s">
        <v>84</v>
      </c>
      <c r="B10" s="19" t="s">
        <v>80</v>
      </c>
      <c r="C10" s="19" t="s">
        <v>31</v>
      </c>
      <c r="D10" s="19" t="s">
        <v>26</v>
      </c>
      <c r="E10" s="21">
        <v>42370</v>
      </c>
      <c r="F10" s="18"/>
      <c r="G10" s="19" t="s">
        <v>34</v>
      </c>
      <c r="H10" s="19" t="s">
        <v>30</v>
      </c>
      <c r="I10" s="19" t="s">
        <v>48</v>
      </c>
      <c r="J10" s="19" t="s">
        <v>29</v>
      </c>
      <c r="K10" s="18"/>
      <c r="L10" s="19" t="s">
        <v>155</v>
      </c>
      <c r="M10" s="19" t="s">
        <v>156</v>
      </c>
      <c r="N10" s="19" t="s">
        <v>134</v>
      </c>
      <c r="O10" s="18"/>
      <c r="P10" s="18"/>
    </row>
    <row r="11" spans="1:16" x14ac:dyDescent="0.25">
      <c r="A11" s="19" t="s">
        <v>84</v>
      </c>
      <c r="B11" s="19" t="s">
        <v>80</v>
      </c>
      <c r="C11" s="19" t="s">
        <v>31</v>
      </c>
      <c r="D11" s="19" t="s">
        <v>26</v>
      </c>
      <c r="E11" s="21">
        <v>42370</v>
      </c>
      <c r="F11" s="18"/>
      <c r="G11" s="19" t="s">
        <v>34</v>
      </c>
      <c r="H11" s="19" t="s">
        <v>30</v>
      </c>
      <c r="I11" s="19" t="s">
        <v>48</v>
      </c>
      <c r="J11" s="19" t="s">
        <v>29</v>
      </c>
      <c r="K11" s="18"/>
      <c r="L11" s="19" t="s">
        <v>157</v>
      </c>
      <c r="M11" s="19" t="s">
        <v>158</v>
      </c>
      <c r="N11" s="18"/>
      <c r="O11" s="19" t="s">
        <v>159</v>
      </c>
      <c r="P11" s="18"/>
    </row>
    <row r="12" spans="1:16" x14ac:dyDescent="0.25">
      <c r="A12" s="19" t="s">
        <v>84</v>
      </c>
      <c r="B12" s="19" t="s">
        <v>80</v>
      </c>
      <c r="C12" s="19" t="s">
        <v>31</v>
      </c>
      <c r="D12" s="19" t="s">
        <v>26</v>
      </c>
      <c r="E12" s="21">
        <v>42370</v>
      </c>
      <c r="F12" s="18"/>
      <c r="G12" s="19" t="s">
        <v>34</v>
      </c>
      <c r="H12" s="19" t="s">
        <v>30</v>
      </c>
      <c r="I12" s="19" t="s">
        <v>48</v>
      </c>
      <c r="J12" s="19" t="s">
        <v>29</v>
      </c>
      <c r="K12" s="18"/>
      <c r="L12" s="19" t="s">
        <v>81</v>
      </c>
      <c r="M12" s="19" t="s">
        <v>82</v>
      </c>
      <c r="N12" s="19" t="s">
        <v>23</v>
      </c>
      <c r="O12" s="19" t="s">
        <v>83</v>
      </c>
      <c r="P12" s="18"/>
    </row>
    <row r="13" spans="1:16" x14ac:dyDescent="0.25">
      <c r="A13" s="19" t="s">
        <v>84</v>
      </c>
      <c r="B13" s="19" t="s">
        <v>80</v>
      </c>
      <c r="C13" s="19" t="s">
        <v>31</v>
      </c>
      <c r="D13" s="19" t="s">
        <v>26</v>
      </c>
      <c r="E13" s="21">
        <v>42370</v>
      </c>
      <c r="F13" s="18"/>
      <c r="G13" s="19" t="s">
        <v>34</v>
      </c>
      <c r="H13" s="19" t="s">
        <v>30</v>
      </c>
      <c r="I13" s="19" t="s">
        <v>48</v>
      </c>
      <c r="J13" s="19" t="s">
        <v>29</v>
      </c>
      <c r="K13" s="18"/>
      <c r="L13" s="19" t="s">
        <v>85</v>
      </c>
      <c r="M13" s="19" t="s">
        <v>86</v>
      </c>
      <c r="N13" s="19" t="s">
        <v>23</v>
      </c>
      <c r="O13" s="18"/>
      <c r="P13" s="18"/>
    </row>
    <row r="14" spans="1:16" x14ac:dyDescent="0.25">
      <c r="A14" s="19" t="s">
        <v>84</v>
      </c>
      <c r="B14" s="19" t="s">
        <v>80</v>
      </c>
      <c r="C14" s="19" t="s">
        <v>31</v>
      </c>
      <c r="D14" s="19" t="s">
        <v>26</v>
      </c>
      <c r="E14" s="21">
        <v>42370</v>
      </c>
      <c r="F14" s="18"/>
      <c r="G14" s="19" t="s">
        <v>34</v>
      </c>
      <c r="H14" s="19" t="s">
        <v>30</v>
      </c>
      <c r="I14" s="19" t="s">
        <v>48</v>
      </c>
      <c r="J14" s="19" t="s">
        <v>29</v>
      </c>
      <c r="K14" s="18"/>
      <c r="L14" s="19" t="s">
        <v>87</v>
      </c>
      <c r="M14" s="19" t="s">
        <v>88</v>
      </c>
      <c r="N14" s="19" t="s">
        <v>23</v>
      </c>
      <c r="O14" s="19" t="s">
        <v>89</v>
      </c>
      <c r="P14" s="18"/>
    </row>
    <row r="15" spans="1:16" x14ac:dyDescent="0.25">
      <c r="A15" s="19" t="s">
        <v>84</v>
      </c>
      <c r="B15" s="19" t="s">
        <v>80</v>
      </c>
      <c r="C15" s="19" t="s">
        <v>31</v>
      </c>
      <c r="D15" s="19" t="s">
        <v>26</v>
      </c>
      <c r="E15" s="21">
        <v>42370</v>
      </c>
      <c r="F15" s="18"/>
      <c r="G15" s="19" t="s">
        <v>34</v>
      </c>
      <c r="H15" s="19" t="s">
        <v>30</v>
      </c>
      <c r="I15" s="19" t="s">
        <v>48</v>
      </c>
      <c r="J15" s="19" t="s">
        <v>29</v>
      </c>
      <c r="K15" s="18"/>
      <c r="L15" s="19" t="s">
        <v>90</v>
      </c>
      <c r="M15" s="19" t="s">
        <v>91</v>
      </c>
      <c r="N15" s="19" t="s">
        <v>23</v>
      </c>
      <c r="O15" s="19" t="s">
        <v>92</v>
      </c>
      <c r="P15" s="18"/>
    </row>
    <row r="16" spans="1:16" x14ac:dyDescent="0.25">
      <c r="A16" s="19" t="s">
        <v>84</v>
      </c>
      <c r="B16" s="19" t="s">
        <v>80</v>
      </c>
      <c r="C16" s="19" t="s">
        <v>31</v>
      </c>
      <c r="D16" s="19" t="s">
        <v>26</v>
      </c>
      <c r="E16" s="21">
        <v>42370</v>
      </c>
      <c r="F16" s="18"/>
      <c r="G16" s="19" t="s">
        <v>34</v>
      </c>
      <c r="H16" s="19" t="s">
        <v>30</v>
      </c>
      <c r="I16" s="19" t="s">
        <v>48</v>
      </c>
      <c r="J16" s="19" t="s">
        <v>29</v>
      </c>
      <c r="K16" s="18"/>
      <c r="L16" s="19" t="s">
        <v>160</v>
      </c>
      <c r="M16" s="19" t="s">
        <v>161</v>
      </c>
      <c r="N16" s="19" t="s">
        <v>162</v>
      </c>
      <c r="O16" s="19" t="s">
        <v>163</v>
      </c>
      <c r="P16" s="18"/>
    </row>
    <row r="17" spans="1:16" x14ac:dyDescent="0.25">
      <c r="A17" s="19" t="s">
        <v>84</v>
      </c>
      <c r="B17" s="19" t="s">
        <v>80</v>
      </c>
      <c r="C17" s="19" t="s">
        <v>31</v>
      </c>
      <c r="D17" s="19" t="s">
        <v>26</v>
      </c>
      <c r="E17" s="21">
        <v>42370</v>
      </c>
      <c r="F17" s="18"/>
      <c r="G17" s="19" t="s">
        <v>34</v>
      </c>
      <c r="H17" s="19" t="s">
        <v>30</v>
      </c>
      <c r="I17" s="19" t="s">
        <v>48</v>
      </c>
      <c r="J17" s="19" t="s">
        <v>29</v>
      </c>
      <c r="K17" s="18"/>
      <c r="L17" s="19" t="s">
        <v>164</v>
      </c>
      <c r="M17" s="19" t="s">
        <v>165</v>
      </c>
      <c r="N17" s="19" t="s">
        <v>162</v>
      </c>
      <c r="O17" s="19" t="s">
        <v>166</v>
      </c>
      <c r="P17" s="18"/>
    </row>
    <row r="18" spans="1:16" x14ac:dyDescent="0.25">
      <c r="A18" s="19" t="s">
        <v>84</v>
      </c>
      <c r="B18" s="19" t="s">
        <v>80</v>
      </c>
      <c r="C18" s="19" t="s">
        <v>31</v>
      </c>
      <c r="D18" s="19" t="s">
        <v>26</v>
      </c>
      <c r="E18" s="21">
        <v>42370</v>
      </c>
      <c r="F18" s="18"/>
      <c r="G18" s="19" t="s">
        <v>34</v>
      </c>
      <c r="H18" s="19" t="s">
        <v>30</v>
      </c>
      <c r="I18" s="19" t="s">
        <v>48</v>
      </c>
      <c r="J18" s="19" t="s">
        <v>29</v>
      </c>
      <c r="K18" s="18"/>
      <c r="L18" s="19" t="s">
        <v>167</v>
      </c>
      <c r="M18" s="19" t="s">
        <v>168</v>
      </c>
      <c r="N18" s="19" t="s">
        <v>169</v>
      </c>
      <c r="O18" s="19" t="s">
        <v>170</v>
      </c>
      <c r="P18" s="18"/>
    </row>
    <row r="19" spans="1:16" ht="26.25" x14ac:dyDescent="0.25">
      <c r="A19" s="19" t="s">
        <v>84</v>
      </c>
      <c r="B19" s="19" t="s">
        <v>80</v>
      </c>
      <c r="C19" s="19" t="s">
        <v>31</v>
      </c>
      <c r="D19" s="19" t="s">
        <v>26</v>
      </c>
      <c r="E19" s="21">
        <v>42370</v>
      </c>
      <c r="F19" s="18"/>
      <c r="G19" s="19" t="s">
        <v>34</v>
      </c>
      <c r="H19" s="19" t="s">
        <v>30</v>
      </c>
      <c r="I19" s="19" t="s">
        <v>48</v>
      </c>
      <c r="J19" s="19" t="s">
        <v>29</v>
      </c>
      <c r="K19" s="18"/>
      <c r="L19" s="19" t="s">
        <v>171</v>
      </c>
      <c r="M19" s="19" t="s">
        <v>172</v>
      </c>
      <c r="N19" s="19" t="s">
        <v>173</v>
      </c>
      <c r="O19" s="19" t="s">
        <v>174</v>
      </c>
      <c r="P19" s="18"/>
    </row>
    <row r="20" spans="1:16" x14ac:dyDescent="0.25">
      <c r="A20" s="19" t="s">
        <v>84</v>
      </c>
      <c r="B20" s="19" t="s">
        <v>80</v>
      </c>
      <c r="C20" s="19" t="s">
        <v>31</v>
      </c>
      <c r="D20" s="19" t="s">
        <v>26</v>
      </c>
      <c r="E20" s="21">
        <v>42370</v>
      </c>
      <c r="F20" s="18"/>
      <c r="G20" s="19" t="s">
        <v>34</v>
      </c>
      <c r="H20" s="19" t="s">
        <v>30</v>
      </c>
      <c r="I20" s="19" t="s">
        <v>48</v>
      </c>
      <c r="J20" s="19" t="s">
        <v>29</v>
      </c>
      <c r="K20" s="18"/>
      <c r="L20" s="19" t="s">
        <v>175</v>
      </c>
      <c r="M20" s="19" t="s">
        <v>176</v>
      </c>
      <c r="N20" s="19" t="s">
        <v>169</v>
      </c>
      <c r="O20" s="19" t="s">
        <v>177</v>
      </c>
      <c r="P20" s="18"/>
    </row>
    <row r="21" spans="1:16" x14ac:dyDescent="0.25">
      <c r="A21" s="19" t="s">
        <v>84</v>
      </c>
      <c r="B21" s="19" t="s">
        <v>80</v>
      </c>
      <c r="C21" s="19" t="s">
        <v>31</v>
      </c>
      <c r="D21" s="19" t="s">
        <v>26</v>
      </c>
      <c r="E21" s="21">
        <v>42370</v>
      </c>
      <c r="F21" s="18"/>
      <c r="G21" s="19" t="s">
        <v>34</v>
      </c>
      <c r="H21" s="19" t="s">
        <v>30</v>
      </c>
      <c r="I21" s="19" t="s">
        <v>48</v>
      </c>
      <c r="J21" s="19" t="s">
        <v>29</v>
      </c>
      <c r="K21" s="18"/>
      <c r="L21" s="19" t="s">
        <v>178</v>
      </c>
      <c r="M21" s="19" t="s">
        <v>179</v>
      </c>
      <c r="N21" s="18"/>
      <c r="O21" s="19" t="s">
        <v>180</v>
      </c>
      <c r="P21" s="18"/>
    </row>
    <row r="22" spans="1:16" x14ac:dyDescent="0.25">
      <c r="A22" s="19" t="s">
        <v>118</v>
      </c>
      <c r="B22" s="19" t="s">
        <v>181</v>
      </c>
      <c r="C22" s="19" t="s">
        <v>182</v>
      </c>
      <c r="D22" s="19" t="s">
        <v>26</v>
      </c>
      <c r="E22" s="21">
        <v>42917</v>
      </c>
      <c r="F22" s="19" t="s">
        <v>17</v>
      </c>
      <c r="G22" s="19" t="s">
        <v>34</v>
      </c>
      <c r="H22" s="19" t="s">
        <v>30</v>
      </c>
      <c r="I22" s="19" t="s">
        <v>19</v>
      </c>
      <c r="J22" s="19" t="s">
        <v>29</v>
      </c>
      <c r="K22" s="18"/>
      <c r="L22" s="19" t="s">
        <v>183</v>
      </c>
      <c r="M22" s="19" t="s">
        <v>184</v>
      </c>
      <c r="N22" s="19" t="s">
        <v>185</v>
      </c>
      <c r="O22" s="18"/>
      <c r="P22" s="18"/>
    </row>
    <row r="23" spans="1:16" x14ac:dyDescent="0.25">
      <c r="A23" s="19" t="s">
        <v>118</v>
      </c>
      <c r="B23" s="19" t="s">
        <v>181</v>
      </c>
      <c r="C23" s="19" t="s">
        <v>182</v>
      </c>
      <c r="D23" s="19" t="s">
        <v>26</v>
      </c>
      <c r="E23" s="21">
        <v>42917</v>
      </c>
      <c r="F23" s="19" t="s">
        <v>17</v>
      </c>
      <c r="G23" s="19" t="s">
        <v>34</v>
      </c>
      <c r="H23" s="19" t="s">
        <v>30</v>
      </c>
      <c r="I23" s="19" t="s">
        <v>19</v>
      </c>
      <c r="J23" s="19" t="s">
        <v>29</v>
      </c>
      <c r="K23" s="18"/>
      <c r="L23" s="19" t="s">
        <v>186</v>
      </c>
      <c r="M23" s="19" t="s">
        <v>187</v>
      </c>
      <c r="N23" s="19" t="s">
        <v>185</v>
      </c>
      <c r="O23" s="18"/>
      <c r="P23" s="18"/>
    </row>
    <row r="24" spans="1:16" x14ac:dyDescent="0.25">
      <c r="A24" s="19" t="s">
        <v>118</v>
      </c>
      <c r="B24" s="19" t="s">
        <v>181</v>
      </c>
      <c r="C24" s="19" t="s">
        <v>182</v>
      </c>
      <c r="D24" s="19" t="s">
        <v>26</v>
      </c>
      <c r="E24" s="21">
        <v>42917</v>
      </c>
      <c r="F24" s="19" t="s">
        <v>17</v>
      </c>
      <c r="G24" s="19" t="s">
        <v>34</v>
      </c>
      <c r="H24" s="19" t="s">
        <v>30</v>
      </c>
      <c r="I24" s="19" t="s">
        <v>19</v>
      </c>
      <c r="J24" s="19" t="s">
        <v>29</v>
      </c>
      <c r="K24" s="18"/>
      <c r="L24" s="19" t="s">
        <v>188</v>
      </c>
      <c r="M24" s="19" t="s">
        <v>189</v>
      </c>
      <c r="N24" s="19" t="s">
        <v>185</v>
      </c>
      <c r="O24" s="18"/>
      <c r="P24" s="18"/>
    </row>
    <row r="25" spans="1:16" x14ac:dyDescent="0.25">
      <c r="A25" s="19" t="s">
        <v>118</v>
      </c>
      <c r="B25" s="19" t="s">
        <v>181</v>
      </c>
      <c r="C25" s="19" t="s">
        <v>182</v>
      </c>
      <c r="D25" s="19" t="s">
        <v>26</v>
      </c>
      <c r="E25" s="21">
        <v>42917</v>
      </c>
      <c r="F25" s="19" t="s">
        <v>17</v>
      </c>
      <c r="G25" s="19" t="s">
        <v>34</v>
      </c>
      <c r="H25" s="19" t="s">
        <v>30</v>
      </c>
      <c r="I25" s="19" t="s">
        <v>19</v>
      </c>
      <c r="J25" s="19" t="s">
        <v>29</v>
      </c>
      <c r="K25" s="18"/>
      <c r="L25" s="19" t="s">
        <v>190</v>
      </c>
      <c r="M25" s="19" t="s">
        <v>191</v>
      </c>
      <c r="N25" s="19" t="s">
        <v>185</v>
      </c>
      <c r="O25" s="18"/>
      <c r="P25" s="18"/>
    </row>
    <row r="26" spans="1:16" x14ac:dyDescent="0.25">
      <c r="A26" s="19" t="s">
        <v>118</v>
      </c>
      <c r="B26" s="19" t="s">
        <v>181</v>
      </c>
      <c r="C26" s="19" t="s">
        <v>182</v>
      </c>
      <c r="D26" s="19" t="s">
        <v>26</v>
      </c>
      <c r="E26" s="21">
        <v>42917</v>
      </c>
      <c r="F26" s="19" t="s">
        <v>17</v>
      </c>
      <c r="G26" s="19" t="s">
        <v>34</v>
      </c>
      <c r="H26" s="19" t="s">
        <v>30</v>
      </c>
      <c r="I26" s="19" t="s">
        <v>19</v>
      </c>
      <c r="J26" s="19" t="s">
        <v>29</v>
      </c>
      <c r="K26" s="18"/>
      <c r="L26" s="19" t="s">
        <v>155</v>
      </c>
      <c r="M26" s="19" t="s">
        <v>192</v>
      </c>
      <c r="N26" s="19" t="s">
        <v>169</v>
      </c>
      <c r="O26" s="19" t="s">
        <v>193</v>
      </c>
      <c r="P26" s="18"/>
    </row>
    <row r="27" spans="1:16" x14ac:dyDescent="0.25">
      <c r="A27" s="19" t="s">
        <v>118</v>
      </c>
      <c r="B27" s="19" t="s">
        <v>181</v>
      </c>
      <c r="C27" s="19" t="s">
        <v>182</v>
      </c>
      <c r="D27" s="19" t="s">
        <v>26</v>
      </c>
      <c r="E27" s="21">
        <v>42917</v>
      </c>
      <c r="F27" s="19" t="s">
        <v>17</v>
      </c>
      <c r="G27" s="19" t="s">
        <v>34</v>
      </c>
      <c r="H27" s="19" t="s">
        <v>30</v>
      </c>
      <c r="I27" s="19" t="s">
        <v>19</v>
      </c>
      <c r="J27" s="19" t="s">
        <v>29</v>
      </c>
      <c r="K27" s="18"/>
      <c r="L27" s="19" t="s">
        <v>151</v>
      </c>
      <c r="M27" s="19" t="s">
        <v>194</v>
      </c>
      <c r="N27" s="19" t="s">
        <v>195</v>
      </c>
      <c r="O27" s="19" t="s">
        <v>196</v>
      </c>
      <c r="P27" s="18"/>
    </row>
    <row r="28" spans="1:16" x14ac:dyDescent="0.25">
      <c r="A28" s="19" t="s">
        <v>118</v>
      </c>
      <c r="B28" s="19" t="s">
        <v>181</v>
      </c>
      <c r="C28" s="19" t="s">
        <v>182</v>
      </c>
      <c r="D28" s="19" t="s">
        <v>26</v>
      </c>
      <c r="E28" s="21">
        <v>42917</v>
      </c>
      <c r="F28" s="19" t="s">
        <v>17</v>
      </c>
      <c r="G28" s="19" t="s">
        <v>34</v>
      </c>
      <c r="H28" s="19" t="s">
        <v>30</v>
      </c>
      <c r="I28" s="19" t="s">
        <v>19</v>
      </c>
      <c r="J28" s="19" t="s">
        <v>29</v>
      </c>
      <c r="K28" s="18"/>
      <c r="L28" s="19" t="s">
        <v>197</v>
      </c>
      <c r="M28" s="19" t="s">
        <v>198</v>
      </c>
      <c r="N28" s="19" t="s">
        <v>199</v>
      </c>
      <c r="O28" s="19" t="s">
        <v>200</v>
      </c>
      <c r="P28" s="18"/>
    </row>
    <row r="29" spans="1:16" x14ac:dyDescent="0.25">
      <c r="A29" s="19" t="s">
        <v>118</v>
      </c>
      <c r="B29" s="19" t="s">
        <v>181</v>
      </c>
      <c r="C29" s="19" t="s">
        <v>182</v>
      </c>
      <c r="D29" s="19" t="s">
        <v>26</v>
      </c>
      <c r="E29" s="21">
        <v>42917</v>
      </c>
      <c r="F29" s="19" t="s">
        <v>17</v>
      </c>
      <c r="G29" s="19" t="s">
        <v>34</v>
      </c>
      <c r="H29" s="19" t="s">
        <v>30</v>
      </c>
      <c r="I29" s="19" t="s">
        <v>19</v>
      </c>
      <c r="J29" s="19" t="s">
        <v>29</v>
      </c>
      <c r="K29" s="18"/>
      <c r="L29" s="19" t="s">
        <v>201</v>
      </c>
      <c r="M29" s="19" t="s">
        <v>202</v>
      </c>
      <c r="N29" s="19" t="s">
        <v>203</v>
      </c>
      <c r="O29" s="19" t="s">
        <v>204</v>
      </c>
      <c r="P29" s="18"/>
    </row>
    <row r="30" spans="1:16" x14ac:dyDescent="0.25">
      <c r="A30" s="19" t="s">
        <v>118</v>
      </c>
      <c r="B30" s="19" t="s">
        <v>181</v>
      </c>
      <c r="C30" s="19" t="s">
        <v>182</v>
      </c>
      <c r="D30" s="19" t="s">
        <v>26</v>
      </c>
      <c r="E30" s="21">
        <v>42917</v>
      </c>
      <c r="F30" s="19" t="s">
        <v>17</v>
      </c>
      <c r="G30" s="19" t="s">
        <v>34</v>
      </c>
      <c r="H30" s="19" t="s">
        <v>30</v>
      </c>
      <c r="I30" s="19" t="s">
        <v>19</v>
      </c>
      <c r="J30" s="19" t="s">
        <v>29</v>
      </c>
      <c r="K30" s="18"/>
      <c r="L30" s="19" t="s">
        <v>205</v>
      </c>
      <c r="M30" s="19" t="s">
        <v>206</v>
      </c>
      <c r="N30" s="19" t="s">
        <v>199</v>
      </c>
      <c r="O30" s="19" t="s">
        <v>207</v>
      </c>
      <c r="P30" s="18"/>
    </row>
    <row r="31" spans="1:16" x14ac:dyDescent="0.25">
      <c r="A31" s="19" t="s">
        <v>118</v>
      </c>
      <c r="B31" s="19" t="s">
        <v>181</v>
      </c>
      <c r="C31" s="19" t="s">
        <v>182</v>
      </c>
      <c r="D31" s="19" t="s">
        <v>26</v>
      </c>
      <c r="E31" s="21">
        <v>42917</v>
      </c>
      <c r="F31" s="19" t="s">
        <v>17</v>
      </c>
      <c r="G31" s="19" t="s">
        <v>34</v>
      </c>
      <c r="H31" s="19" t="s">
        <v>30</v>
      </c>
      <c r="I31" s="19" t="s">
        <v>19</v>
      </c>
      <c r="J31" s="19" t="s">
        <v>29</v>
      </c>
      <c r="K31" s="18"/>
      <c r="L31" s="19" t="s">
        <v>208</v>
      </c>
      <c r="M31" s="19" t="s">
        <v>194</v>
      </c>
      <c r="N31" s="18"/>
      <c r="O31" s="19" t="s">
        <v>196</v>
      </c>
      <c r="P31" s="18"/>
    </row>
    <row r="32" spans="1:16" x14ac:dyDescent="0.25">
      <c r="A32" s="19" t="s">
        <v>118</v>
      </c>
      <c r="B32" s="19" t="s">
        <v>181</v>
      </c>
      <c r="C32" s="19" t="s">
        <v>182</v>
      </c>
      <c r="D32" s="19" t="s">
        <v>26</v>
      </c>
      <c r="E32" s="21">
        <v>42917</v>
      </c>
      <c r="F32" s="19" t="s">
        <v>17</v>
      </c>
      <c r="G32" s="19" t="s">
        <v>34</v>
      </c>
      <c r="H32" s="19" t="s">
        <v>30</v>
      </c>
      <c r="I32" s="19" t="s">
        <v>19</v>
      </c>
      <c r="J32" s="19" t="s">
        <v>29</v>
      </c>
      <c r="K32" s="18"/>
      <c r="L32" s="19" t="s">
        <v>209</v>
      </c>
      <c r="M32" s="19" t="s">
        <v>210</v>
      </c>
      <c r="N32" s="19" t="s">
        <v>211</v>
      </c>
      <c r="O32" s="19" t="s">
        <v>200</v>
      </c>
      <c r="P32" s="18"/>
    </row>
    <row r="33" spans="1:16" x14ac:dyDescent="0.25">
      <c r="A33" s="19" t="s">
        <v>25</v>
      </c>
      <c r="B33" s="19" t="s">
        <v>15</v>
      </c>
      <c r="C33" s="19" t="s">
        <v>16</v>
      </c>
      <c r="D33" s="18"/>
      <c r="E33" s="21">
        <v>42005</v>
      </c>
      <c r="F33" s="19" t="s">
        <v>17</v>
      </c>
      <c r="G33" s="19" t="s">
        <v>28</v>
      </c>
      <c r="H33" s="19" t="s">
        <v>18</v>
      </c>
      <c r="I33" s="19" t="s">
        <v>19</v>
      </c>
      <c r="J33" s="19" t="s">
        <v>20</v>
      </c>
      <c r="K33" s="19" t="s">
        <v>214</v>
      </c>
      <c r="L33" s="19" t="s">
        <v>215</v>
      </c>
      <c r="M33" s="19" t="s">
        <v>216</v>
      </c>
      <c r="N33" s="19" t="s">
        <v>217</v>
      </c>
      <c r="O33" s="19" t="s">
        <v>218</v>
      </c>
      <c r="P33" s="18"/>
    </row>
    <row r="34" spans="1:16" x14ac:dyDescent="0.25">
      <c r="A34" s="19" t="s">
        <v>25</v>
      </c>
      <c r="B34" s="19" t="s">
        <v>15</v>
      </c>
      <c r="C34" s="19" t="s">
        <v>16</v>
      </c>
      <c r="D34" s="18"/>
      <c r="E34" s="21">
        <v>42005</v>
      </c>
      <c r="F34" s="19" t="s">
        <v>17</v>
      </c>
      <c r="G34" s="19" t="s">
        <v>28</v>
      </c>
      <c r="H34" s="19" t="s">
        <v>18</v>
      </c>
      <c r="I34" s="19" t="s">
        <v>19</v>
      </c>
      <c r="J34" s="19" t="s">
        <v>20</v>
      </c>
      <c r="K34" s="19" t="s">
        <v>214</v>
      </c>
      <c r="L34" s="19" t="s">
        <v>21</v>
      </c>
      <c r="M34" s="19" t="s">
        <v>22</v>
      </c>
      <c r="N34" s="19" t="s">
        <v>23</v>
      </c>
      <c r="O34" s="19" t="s">
        <v>24</v>
      </c>
      <c r="P34" s="18"/>
    </row>
    <row r="35" spans="1:16" x14ac:dyDescent="0.25">
      <c r="A35" s="19" t="s">
        <v>25</v>
      </c>
      <c r="B35" s="19" t="s">
        <v>15</v>
      </c>
      <c r="C35" s="19" t="s">
        <v>16</v>
      </c>
      <c r="D35" s="18"/>
      <c r="E35" s="21">
        <v>42005</v>
      </c>
      <c r="F35" s="19" t="s">
        <v>17</v>
      </c>
      <c r="G35" s="19" t="s">
        <v>28</v>
      </c>
      <c r="H35" s="19" t="s">
        <v>18</v>
      </c>
      <c r="I35" s="19" t="s">
        <v>19</v>
      </c>
      <c r="J35" s="19" t="s">
        <v>20</v>
      </c>
      <c r="K35" s="19" t="s">
        <v>214</v>
      </c>
      <c r="L35" s="19" t="s">
        <v>219</v>
      </c>
      <c r="M35" s="19" t="s">
        <v>220</v>
      </c>
      <c r="N35" s="19" t="s">
        <v>169</v>
      </c>
      <c r="O35" s="19" t="s">
        <v>221</v>
      </c>
      <c r="P35" s="18"/>
    </row>
    <row r="36" spans="1:16" x14ac:dyDescent="0.25">
      <c r="A36" s="19" t="s">
        <v>25</v>
      </c>
      <c r="B36" s="19" t="s">
        <v>15</v>
      </c>
      <c r="C36" s="19" t="s">
        <v>16</v>
      </c>
      <c r="D36" s="18"/>
      <c r="E36" s="21">
        <v>42005</v>
      </c>
      <c r="F36" s="19" t="s">
        <v>17</v>
      </c>
      <c r="G36" s="19" t="s">
        <v>28</v>
      </c>
      <c r="H36" s="19" t="s">
        <v>18</v>
      </c>
      <c r="I36" s="19" t="s">
        <v>19</v>
      </c>
      <c r="J36" s="19" t="s">
        <v>20</v>
      </c>
      <c r="K36" s="19" t="s">
        <v>214</v>
      </c>
      <c r="L36" s="19" t="s">
        <v>222</v>
      </c>
      <c r="M36" s="19" t="s">
        <v>223</v>
      </c>
      <c r="N36" s="19" t="s">
        <v>185</v>
      </c>
      <c r="O36" s="19" t="s">
        <v>224</v>
      </c>
      <c r="P36" s="18"/>
    </row>
    <row r="37" spans="1:16" x14ac:dyDescent="0.25">
      <c r="A37" s="19" t="s">
        <v>25</v>
      </c>
      <c r="B37" s="19" t="s">
        <v>15</v>
      </c>
      <c r="C37" s="19" t="s">
        <v>16</v>
      </c>
      <c r="D37" s="18"/>
      <c r="E37" s="21">
        <v>42005</v>
      </c>
      <c r="F37" s="19" t="s">
        <v>17</v>
      </c>
      <c r="G37" s="19" t="s">
        <v>28</v>
      </c>
      <c r="H37" s="19" t="s">
        <v>18</v>
      </c>
      <c r="I37" s="19" t="s">
        <v>19</v>
      </c>
      <c r="J37" s="19" t="s">
        <v>20</v>
      </c>
      <c r="K37" s="19" t="s">
        <v>214</v>
      </c>
      <c r="L37" s="19" t="s">
        <v>225</v>
      </c>
      <c r="M37" s="19" t="s">
        <v>226</v>
      </c>
      <c r="N37" s="19" t="s">
        <v>185</v>
      </c>
      <c r="O37" s="19" t="s">
        <v>95</v>
      </c>
      <c r="P37" s="18"/>
    </row>
    <row r="38" spans="1:16" x14ac:dyDescent="0.25">
      <c r="A38" s="19" t="s">
        <v>25</v>
      </c>
      <c r="B38" s="19" t="s">
        <v>15</v>
      </c>
      <c r="C38" s="19" t="s">
        <v>16</v>
      </c>
      <c r="D38" s="18"/>
      <c r="E38" s="21">
        <v>42005</v>
      </c>
      <c r="F38" s="19" t="s">
        <v>17</v>
      </c>
      <c r="G38" s="19" t="s">
        <v>28</v>
      </c>
      <c r="H38" s="19" t="s">
        <v>18</v>
      </c>
      <c r="I38" s="19" t="s">
        <v>19</v>
      </c>
      <c r="J38" s="19" t="s">
        <v>20</v>
      </c>
      <c r="K38" s="19" t="s">
        <v>214</v>
      </c>
      <c r="L38" s="19" t="s">
        <v>93</v>
      </c>
      <c r="M38" s="19" t="s">
        <v>94</v>
      </c>
      <c r="N38" s="19" t="s">
        <v>199</v>
      </c>
      <c r="O38" s="19" t="s">
        <v>227</v>
      </c>
      <c r="P38" s="18"/>
    </row>
    <row r="39" spans="1:16" x14ac:dyDescent="0.25">
      <c r="A39" s="19" t="s">
        <v>25</v>
      </c>
      <c r="B39" s="19" t="s">
        <v>15</v>
      </c>
      <c r="C39" s="19" t="s">
        <v>16</v>
      </c>
      <c r="D39" s="18"/>
      <c r="E39" s="21">
        <v>42005</v>
      </c>
      <c r="F39" s="19" t="s">
        <v>17</v>
      </c>
      <c r="G39" s="19" t="s">
        <v>28</v>
      </c>
      <c r="H39" s="19" t="s">
        <v>18</v>
      </c>
      <c r="I39" s="19" t="s">
        <v>19</v>
      </c>
      <c r="J39" s="19" t="s">
        <v>20</v>
      </c>
      <c r="K39" s="19" t="s">
        <v>214</v>
      </c>
      <c r="L39" s="19" t="s">
        <v>93</v>
      </c>
      <c r="M39" s="19" t="s">
        <v>94</v>
      </c>
      <c r="N39" s="19" t="s">
        <v>23</v>
      </c>
      <c r="O39" s="19" t="s">
        <v>95</v>
      </c>
      <c r="P39" s="18"/>
    </row>
    <row r="40" spans="1:16" x14ac:dyDescent="0.25">
      <c r="A40" s="19" t="s">
        <v>115</v>
      </c>
      <c r="B40" s="19" t="s">
        <v>228</v>
      </c>
      <c r="C40" s="19" t="s">
        <v>16</v>
      </c>
      <c r="D40" s="19" t="s">
        <v>26</v>
      </c>
      <c r="E40" s="21">
        <v>42917</v>
      </c>
      <c r="F40" s="18"/>
      <c r="G40" s="19" t="s">
        <v>28</v>
      </c>
      <c r="H40" s="19" t="s">
        <v>30</v>
      </c>
      <c r="I40" s="19" t="s">
        <v>19</v>
      </c>
      <c r="J40" s="19" t="s">
        <v>20</v>
      </c>
      <c r="K40" s="18"/>
      <c r="L40" s="19" t="s">
        <v>229</v>
      </c>
      <c r="M40" s="19" t="s">
        <v>230</v>
      </c>
      <c r="N40" s="19" t="s">
        <v>185</v>
      </c>
      <c r="O40" s="19" t="s">
        <v>231</v>
      </c>
      <c r="P40" s="18"/>
    </row>
    <row r="41" spans="1:16" x14ac:dyDescent="0.25">
      <c r="A41" s="19" t="s">
        <v>115</v>
      </c>
      <c r="B41" s="19" t="s">
        <v>228</v>
      </c>
      <c r="C41" s="19" t="s">
        <v>16</v>
      </c>
      <c r="D41" s="19" t="s">
        <v>26</v>
      </c>
      <c r="E41" s="21">
        <v>42917</v>
      </c>
      <c r="F41" s="18"/>
      <c r="G41" s="19" t="s">
        <v>28</v>
      </c>
      <c r="H41" s="19" t="s">
        <v>30</v>
      </c>
      <c r="I41" s="19" t="s">
        <v>19</v>
      </c>
      <c r="J41" s="19" t="s">
        <v>20</v>
      </c>
      <c r="K41" s="18"/>
      <c r="L41" s="19" t="s">
        <v>90</v>
      </c>
      <c r="M41" s="19" t="s">
        <v>232</v>
      </c>
      <c r="N41" s="19" t="s">
        <v>185</v>
      </c>
      <c r="O41" s="19" t="s">
        <v>231</v>
      </c>
      <c r="P41" s="18"/>
    </row>
    <row r="42" spans="1:16" x14ac:dyDescent="0.25">
      <c r="A42" s="19" t="s">
        <v>115</v>
      </c>
      <c r="B42" s="19" t="s">
        <v>228</v>
      </c>
      <c r="C42" s="19" t="s">
        <v>16</v>
      </c>
      <c r="D42" s="19" t="s">
        <v>26</v>
      </c>
      <c r="E42" s="21">
        <v>42917</v>
      </c>
      <c r="F42" s="18"/>
      <c r="G42" s="19" t="s">
        <v>28</v>
      </c>
      <c r="H42" s="19" t="s">
        <v>30</v>
      </c>
      <c r="I42" s="19" t="s">
        <v>19</v>
      </c>
      <c r="J42" s="19" t="s">
        <v>20</v>
      </c>
      <c r="K42" s="18"/>
      <c r="L42" s="19" t="s">
        <v>219</v>
      </c>
      <c r="M42" s="19" t="s">
        <v>233</v>
      </c>
      <c r="N42" s="19" t="s">
        <v>185</v>
      </c>
      <c r="O42" s="19" t="s">
        <v>231</v>
      </c>
      <c r="P42" s="18"/>
    </row>
    <row r="43" spans="1:16" x14ac:dyDescent="0.25">
      <c r="A43" s="19" t="s">
        <v>115</v>
      </c>
      <c r="B43" s="19" t="s">
        <v>228</v>
      </c>
      <c r="C43" s="19" t="s">
        <v>16</v>
      </c>
      <c r="D43" s="19" t="s">
        <v>26</v>
      </c>
      <c r="E43" s="21">
        <v>42917</v>
      </c>
      <c r="F43" s="18"/>
      <c r="G43" s="19" t="s">
        <v>28</v>
      </c>
      <c r="H43" s="19" t="s">
        <v>30</v>
      </c>
      <c r="I43" s="19" t="s">
        <v>19</v>
      </c>
      <c r="J43" s="19" t="s">
        <v>20</v>
      </c>
      <c r="K43" s="18"/>
      <c r="L43" s="19" t="s">
        <v>234</v>
      </c>
      <c r="M43" s="19" t="s">
        <v>235</v>
      </c>
      <c r="N43" s="19" t="s">
        <v>169</v>
      </c>
      <c r="O43" s="19" t="s">
        <v>236</v>
      </c>
      <c r="P43" s="18"/>
    </row>
    <row r="44" spans="1:16" x14ac:dyDescent="0.25">
      <c r="A44" s="19" t="s">
        <v>115</v>
      </c>
      <c r="B44" s="19" t="s">
        <v>228</v>
      </c>
      <c r="C44" s="19" t="s">
        <v>16</v>
      </c>
      <c r="D44" s="19" t="s">
        <v>26</v>
      </c>
      <c r="E44" s="21">
        <v>42917</v>
      </c>
      <c r="F44" s="18"/>
      <c r="G44" s="19" t="s">
        <v>28</v>
      </c>
      <c r="H44" s="19" t="s">
        <v>30</v>
      </c>
      <c r="I44" s="19" t="s">
        <v>19</v>
      </c>
      <c r="J44" s="19" t="s">
        <v>20</v>
      </c>
      <c r="K44" s="18"/>
      <c r="L44" s="19" t="s">
        <v>190</v>
      </c>
      <c r="M44" s="19" t="s">
        <v>237</v>
      </c>
      <c r="N44" s="19" t="s">
        <v>185</v>
      </c>
      <c r="O44" s="19" t="s">
        <v>231</v>
      </c>
      <c r="P44" s="18"/>
    </row>
    <row r="45" spans="1:16" x14ac:dyDescent="0.25">
      <c r="A45" s="19" t="s">
        <v>115</v>
      </c>
      <c r="B45" s="19" t="s">
        <v>228</v>
      </c>
      <c r="C45" s="19" t="s">
        <v>16</v>
      </c>
      <c r="D45" s="19" t="s">
        <v>26</v>
      </c>
      <c r="E45" s="21">
        <v>42917</v>
      </c>
      <c r="F45" s="18"/>
      <c r="G45" s="19" t="s">
        <v>28</v>
      </c>
      <c r="H45" s="19" t="s">
        <v>30</v>
      </c>
      <c r="I45" s="19" t="s">
        <v>19</v>
      </c>
      <c r="J45" s="19" t="s">
        <v>20</v>
      </c>
      <c r="K45" s="18"/>
      <c r="L45" s="19" t="s">
        <v>238</v>
      </c>
      <c r="M45" s="19" t="s">
        <v>239</v>
      </c>
      <c r="N45" s="19" t="s">
        <v>185</v>
      </c>
      <c r="O45" s="19" t="s">
        <v>231</v>
      </c>
      <c r="P45" s="18"/>
    </row>
    <row r="46" spans="1:16" x14ac:dyDescent="0.25">
      <c r="A46" s="19" t="s">
        <v>115</v>
      </c>
      <c r="B46" s="19" t="s">
        <v>228</v>
      </c>
      <c r="C46" s="19" t="s">
        <v>16</v>
      </c>
      <c r="D46" s="19" t="s">
        <v>26</v>
      </c>
      <c r="E46" s="21">
        <v>42917</v>
      </c>
      <c r="F46" s="18"/>
      <c r="G46" s="19" t="s">
        <v>28</v>
      </c>
      <c r="H46" s="19" t="s">
        <v>30</v>
      </c>
      <c r="I46" s="19" t="s">
        <v>19</v>
      </c>
      <c r="J46" s="19" t="s">
        <v>20</v>
      </c>
      <c r="K46" s="18"/>
      <c r="L46" s="19" t="s">
        <v>164</v>
      </c>
      <c r="M46" s="19" t="s">
        <v>240</v>
      </c>
      <c r="N46" s="19" t="s">
        <v>185</v>
      </c>
      <c r="O46" s="19" t="s">
        <v>231</v>
      </c>
      <c r="P46" s="18"/>
    </row>
    <row r="47" spans="1:16" x14ac:dyDescent="0.25">
      <c r="A47" s="19" t="s">
        <v>115</v>
      </c>
      <c r="B47" s="19" t="s">
        <v>228</v>
      </c>
      <c r="C47" s="19" t="s">
        <v>16</v>
      </c>
      <c r="D47" s="19" t="s">
        <v>26</v>
      </c>
      <c r="E47" s="21">
        <v>42917</v>
      </c>
      <c r="F47" s="18"/>
      <c r="G47" s="19" t="s">
        <v>28</v>
      </c>
      <c r="H47" s="19" t="s">
        <v>30</v>
      </c>
      <c r="I47" s="19" t="s">
        <v>19</v>
      </c>
      <c r="J47" s="19" t="s">
        <v>20</v>
      </c>
      <c r="K47" s="18"/>
      <c r="L47" s="19" t="s">
        <v>241</v>
      </c>
      <c r="M47" s="19" t="s">
        <v>242</v>
      </c>
      <c r="N47" s="19" t="s">
        <v>185</v>
      </c>
      <c r="O47" s="19" t="s">
        <v>231</v>
      </c>
      <c r="P47" s="18"/>
    </row>
    <row r="48" spans="1:16" x14ac:dyDescent="0.25">
      <c r="A48" s="19" t="s">
        <v>115</v>
      </c>
      <c r="B48" s="19" t="s">
        <v>228</v>
      </c>
      <c r="C48" s="19" t="s">
        <v>16</v>
      </c>
      <c r="D48" s="19" t="s">
        <v>26</v>
      </c>
      <c r="E48" s="21">
        <v>42917</v>
      </c>
      <c r="F48" s="18"/>
      <c r="G48" s="19" t="s">
        <v>28</v>
      </c>
      <c r="H48" s="19" t="s">
        <v>30</v>
      </c>
      <c r="I48" s="19" t="s">
        <v>19</v>
      </c>
      <c r="J48" s="19" t="s">
        <v>20</v>
      </c>
      <c r="K48" s="18"/>
      <c r="L48" s="19" t="s">
        <v>243</v>
      </c>
      <c r="M48" s="19" t="s">
        <v>244</v>
      </c>
      <c r="N48" s="19" t="s">
        <v>195</v>
      </c>
      <c r="O48" s="19" t="s">
        <v>231</v>
      </c>
      <c r="P48" s="18"/>
    </row>
    <row r="49" spans="1:16" x14ac:dyDescent="0.25">
      <c r="A49" s="19" t="s">
        <v>115</v>
      </c>
      <c r="B49" s="19" t="s">
        <v>228</v>
      </c>
      <c r="C49" s="19" t="s">
        <v>16</v>
      </c>
      <c r="D49" s="19" t="s">
        <v>26</v>
      </c>
      <c r="E49" s="21">
        <v>42917</v>
      </c>
      <c r="F49" s="18"/>
      <c r="G49" s="19" t="s">
        <v>28</v>
      </c>
      <c r="H49" s="19" t="s">
        <v>30</v>
      </c>
      <c r="I49" s="19" t="s">
        <v>19</v>
      </c>
      <c r="J49" s="19" t="s">
        <v>20</v>
      </c>
      <c r="K49" s="18"/>
      <c r="L49" s="19" t="s">
        <v>245</v>
      </c>
      <c r="M49" s="19" t="s">
        <v>246</v>
      </c>
      <c r="N49" s="19" t="s">
        <v>199</v>
      </c>
      <c r="O49" s="18"/>
      <c r="P49" s="18"/>
    </row>
    <row r="50" spans="1:16" x14ac:dyDescent="0.25">
      <c r="A50" s="19" t="s">
        <v>115</v>
      </c>
      <c r="B50" s="19" t="s">
        <v>228</v>
      </c>
      <c r="C50" s="19" t="s">
        <v>16</v>
      </c>
      <c r="D50" s="19" t="s">
        <v>26</v>
      </c>
      <c r="E50" s="21">
        <v>42917</v>
      </c>
      <c r="F50" s="18"/>
      <c r="G50" s="19" t="s">
        <v>28</v>
      </c>
      <c r="H50" s="19" t="s">
        <v>30</v>
      </c>
      <c r="I50" s="19" t="s">
        <v>19</v>
      </c>
      <c r="J50" s="19" t="s">
        <v>20</v>
      </c>
      <c r="K50" s="18"/>
      <c r="L50" s="19" t="s">
        <v>245</v>
      </c>
      <c r="M50" s="19" t="s">
        <v>246</v>
      </c>
      <c r="N50" s="19" t="s">
        <v>247</v>
      </c>
      <c r="O50" s="19" t="s">
        <v>248</v>
      </c>
      <c r="P50" s="18"/>
    </row>
    <row r="51" spans="1:16" ht="26.25" x14ac:dyDescent="0.25">
      <c r="A51" s="19" t="s">
        <v>100</v>
      </c>
      <c r="B51" s="19" t="s">
        <v>96</v>
      </c>
      <c r="C51" s="19" t="s">
        <v>32</v>
      </c>
      <c r="D51" s="19" t="s">
        <v>26</v>
      </c>
      <c r="E51" s="21">
        <v>42917</v>
      </c>
      <c r="F51" s="18"/>
      <c r="G51" s="19" t="s">
        <v>28</v>
      </c>
      <c r="H51" s="19" t="s">
        <v>30</v>
      </c>
      <c r="I51" s="19" t="s">
        <v>19</v>
      </c>
      <c r="J51" s="19" t="s">
        <v>29</v>
      </c>
      <c r="K51" s="18"/>
      <c r="L51" s="19" t="s">
        <v>249</v>
      </c>
      <c r="M51" s="19" t="s">
        <v>250</v>
      </c>
      <c r="N51" s="19" t="s">
        <v>169</v>
      </c>
      <c r="O51" s="19" t="s">
        <v>251</v>
      </c>
      <c r="P51" s="19" t="s">
        <v>99</v>
      </c>
    </row>
    <row r="52" spans="1:16" ht="26.25" x14ac:dyDescent="0.25">
      <c r="A52" s="19" t="s">
        <v>100</v>
      </c>
      <c r="B52" s="19" t="s">
        <v>96</v>
      </c>
      <c r="C52" s="19" t="s">
        <v>32</v>
      </c>
      <c r="D52" s="19" t="s">
        <v>26</v>
      </c>
      <c r="E52" s="21">
        <v>42917</v>
      </c>
      <c r="F52" s="18"/>
      <c r="G52" s="19" t="s">
        <v>28</v>
      </c>
      <c r="H52" s="19" t="s">
        <v>30</v>
      </c>
      <c r="I52" s="19" t="s">
        <v>19</v>
      </c>
      <c r="J52" s="19" t="s">
        <v>29</v>
      </c>
      <c r="K52" s="18"/>
      <c r="L52" s="19" t="s">
        <v>155</v>
      </c>
      <c r="M52" s="19" t="s">
        <v>252</v>
      </c>
      <c r="N52" s="19" t="s">
        <v>213</v>
      </c>
      <c r="O52" s="18"/>
      <c r="P52" s="19" t="s">
        <v>99</v>
      </c>
    </row>
    <row r="53" spans="1:16" ht="26.25" x14ac:dyDescent="0.25">
      <c r="A53" s="19" t="s">
        <v>100</v>
      </c>
      <c r="B53" s="19" t="s">
        <v>96</v>
      </c>
      <c r="C53" s="19" t="s">
        <v>32</v>
      </c>
      <c r="D53" s="19" t="s">
        <v>26</v>
      </c>
      <c r="E53" s="21">
        <v>42917</v>
      </c>
      <c r="F53" s="18"/>
      <c r="G53" s="19" t="s">
        <v>28</v>
      </c>
      <c r="H53" s="19" t="s">
        <v>30</v>
      </c>
      <c r="I53" s="19" t="s">
        <v>19</v>
      </c>
      <c r="J53" s="19" t="s">
        <v>29</v>
      </c>
      <c r="K53" s="18"/>
      <c r="L53" s="19" t="s">
        <v>253</v>
      </c>
      <c r="M53" s="19" t="s">
        <v>254</v>
      </c>
      <c r="N53" s="19" t="s">
        <v>213</v>
      </c>
      <c r="O53" s="18"/>
      <c r="P53" s="19" t="s">
        <v>99</v>
      </c>
    </row>
    <row r="54" spans="1:16" ht="26.25" x14ac:dyDescent="0.25">
      <c r="A54" s="19" t="s">
        <v>100</v>
      </c>
      <c r="B54" s="19" t="s">
        <v>96</v>
      </c>
      <c r="C54" s="19" t="s">
        <v>32</v>
      </c>
      <c r="D54" s="19" t="s">
        <v>26</v>
      </c>
      <c r="E54" s="21">
        <v>42917</v>
      </c>
      <c r="F54" s="18"/>
      <c r="G54" s="19" t="s">
        <v>28</v>
      </c>
      <c r="H54" s="19" t="s">
        <v>30</v>
      </c>
      <c r="I54" s="19" t="s">
        <v>19</v>
      </c>
      <c r="J54" s="19" t="s">
        <v>29</v>
      </c>
      <c r="K54" s="18"/>
      <c r="L54" s="19" t="s">
        <v>255</v>
      </c>
      <c r="M54" s="19" t="s">
        <v>256</v>
      </c>
      <c r="N54" s="19" t="s">
        <v>257</v>
      </c>
      <c r="O54" s="19" t="s">
        <v>258</v>
      </c>
      <c r="P54" s="19" t="s">
        <v>99</v>
      </c>
    </row>
    <row r="55" spans="1:16" ht="26.25" x14ac:dyDescent="0.25">
      <c r="A55" s="19" t="s">
        <v>100</v>
      </c>
      <c r="B55" s="19" t="s">
        <v>96</v>
      </c>
      <c r="C55" s="19" t="s">
        <v>32</v>
      </c>
      <c r="D55" s="19" t="s">
        <v>26</v>
      </c>
      <c r="E55" s="21">
        <v>42917</v>
      </c>
      <c r="F55" s="18"/>
      <c r="G55" s="19" t="s">
        <v>28</v>
      </c>
      <c r="H55" s="19" t="s">
        <v>30</v>
      </c>
      <c r="I55" s="19" t="s">
        <v>19</v>
      </c>
      <c r="J55" s="19" t="s">
        <v>29</v>
      </c>
      <c r="K55" s="18"/>
      <c r="L55" s="19" t="s">
        <v>259</v>
      </c>
      <c r="M55" s="19" t="s">
        <v>260</v>
      </c>
      <c r="N55" s="19" t="s">
        <v>247</v>
      </c>
      <c r="O55" s="19" t="s">
        <v>261</v>
      </c>
      <c r="P55" s="19" t="s">
        <v>99</v>
      </c>
    </row>
    <row r="56" spans="1:16" ht="26.25" x14ac:dyDescent="0.25">
      <c r="A56" s="19" t="s">
        <v>100</v>
      </c>
      <c r="B56" s="19" t="s">
        <v>96</v>
      </c>
      <c r="C56" s="19" t="s">
        <v>32</v>
      </c>
      <c r="D56" s="19" t="s">
        <v>26</v>
      </c>
      <c r="E56" s="21">
        <v>42917</v>
      </c>
      <c r="F56" s="18"/>
      <c r="G56" s="19" t="s">
        <v>28</v>
      </c>
      <c r="H56" s="19" t="s">
        <v>30</v>
      </c>
      <c r="I56" s="19" t="s">
        <v>19</v>
      </c>
      <c r="J56" s="19" t="s">
        <v>29</v>
      </c>
      <c r="K56" s="18"/>
      <c r="L56" s="19" t="s">
        <v>262</v>
      </c>
      <c r="M56" s="19" t="s">
        <v>256</v>
      </c>
      <c r="N56" s="18"/>
      <c r="O56" s="19" t="s">
        <v>258</v>
      </c>
      <c r="P56" s="19" t="s">
        <v>99</v>
      </c>
    </row>
    <row r="57" spans="1:16" ht="26.25" x14ac:dyDescent="0.25">
      <c r="A57" s="19" t="s">
        <v>100</v>
      </c>
      <c r="B57" s="19" t="s">
        <v>96</v>
      </c>
      <c r="C57" s="19" t="s">
        <v>32</v>
      </c>
      <c r="D57" s="19" t="s">
        <v>26</v>
      </c>
      <c r="E57" s="21">
        <v>42917</v>
      </c>
      <c r="F57" s="18"/>
      <c r="G57" s="19" t="s">
        <v>28</v>
      </c>
      <c r="H57" s="19" t="s">
        <v>30</v>
      </c>
      <c r="I57" s="19" t="s">
        <v>19</v>
      </c>
      <c r="J57" s="19" t="s">
        <v>29</v>
      </c>
      <c r="K57" s="18"/>
      <c r="L57" s="19" t="s">
        <v>97</v>
      </c>
      <c r="M57" s="19" t="s">
        <v>98</v>
      </c>
      <c r="N57" s="19" t="s">
        <v>23</v>
      </c>
      <c r="O57" s="18"/>
      <c r="P57" s="19" t="s">
        <v>99</v>
      </c>
    </row>
    <row r="58" spans="1:16" x14ac:dyDescent="0.25">
      <c r="A58" s="19" t="s">
        <v>110</v>
      </c>
      <c r="B58" s="19" t="s">
        <v>263</v>
      </c>
      <c r="C58" s="19" t="s">
        <v>264</v>
      </c>
      <c r="D58" s="19" t="s">
        <v>26</v>
      </c>
      <c r="E58" s="21">
        <v>42917</v>
      </c>
      <c r="F58" s="18"/>
      <c r="G58" s="19" t="s">
        <v>34</v>
      </c>
      <c r="H58" s="19" t="s">
        <v>30</v>
      </c>
      <c r="I58" s="19" t="s">
        <v>19</v>
      </c>
      <c r="J58" s="19" t="s">
        <v>20</v>
      </c>
      <c r="K58" s="18"/>
      <c r="L58" s="19" t="s">
        <v>265</v>
      </c>
      <c r="M58" s="19" t="s">
        <v>266</v>
      </c>
      <c r="N58" s="19" t="s">
        <v>169</v>
      </c>
      <c r="O58" s="19" t="s">
        <v>267</v>
      </c>
      <c r="P58" s="18"/>
    </row>
    <row r="59" spans="1:16" x14ac:dyDescent="0.25">
      <c r="A59" s="19" t="s">
        <v>110</v>
      </c>
      <c r="B59" s="19" t="s">
        <v>263</v>
      </c>
      <c r="C59" s="19" t="s">
        <v>264</v>
      </c>
      <c r="D59" s="19" t="s">
        <v>26</v>
      </c>
      <c r="E59" s="21">
        <v>42917</v>
      </c>
      <c r="F59" s="18"/>
      <c r="G59" s="19" t="s">
        <v>34</v>
      </c>
      <c r="H59" s="19" t="s">
        <v>30</v>
      </c>
      <c r="I59" s="19" t="s">
        <v>19</v>
      </c>
      <c r="J59" s="19" t="s">
        <v>20</v>
      </c>
      <c r="K59" s="18"/>
      <c r="L59" s="19" t="s">
        <v>234</v>
      </c>
      <c r="M59" s="19" t="s">
        <v>268</v>
      </c>
      <c r="N59" s="19" t="s">
        <v>185</v>
      </c>
      <c r="O59" s="18"/>
      <c r="P59" s="18"/>
    </row>
    <row r="60" spans="1:16" x14ac:dyDescent="0.25">
      <c r="A60" s="19" t="s">
        <v>110</v>
      </c>
      <c r="B60" s="19" t="s">
        <v>263</v>
      </c>
      <c r="C60" s="19" t="s">
        <v>264</v>
      </c>
      <c r="D60" s="19" t="s">
        <v>26</v>
      </c>
      <c r="E60" s="21">
        <v>42917</v>
      </c>
      <c r="F60" s="18"/>
      <c r="G60" s="19" t="s">
        <v>34</v>
      </c>
      <c r="H60" s="19" t="s">
        <v>30</v>
      </c>
      <c r="I60" s="19" t="s">
        <v>19</v>
      </c>
      <c r="J60" s="19" t="s">
        <v>20</v>
      </c>
      <c r="K60" s="18"/>
      <c r="L60" s="19" t="s">
        <v>269</v>
      </c>
      <c r="M60" s="19" t="s">
        <v>270</v>
      </c>
      <c r="N60" s="19" t="s">
        <v>185</v>
      </c>
      <c r="O60" s="18"/>
      <c r="P60" s="18"/>
    </row>
    <row r="61" spans="1:16" x14ac:dyDescent="0.25">
      <c r="A61" s="19" t="s">
        <v>110</v>
      </c>
      <c r="B61" s="19" t="s">
        <v>263</v>
      </c>
      <c r="C61" s="19" t="s">
        <v>264</v>
      </c>
      <c r="D61" s="19" t="s">
        <v>26</v>
      </c>
      <c r="E61" s="21">
        <v>42917</v>
      </c>
      <c r="F61" s="18"/>
      <c r="G61" s="19" t="s">
        <v>34</v>
      </c>
      <c r="H61" s="19" t="s">
        <v>30</v>
      </c>
      <c r="I61" s="19" t="s">
        <v>19</v>
      </c>
      <c r="J61" s="19" t="s">
        <v>20</v>
      </c>
      <c r="K61" s="18"/>
      <c r="L61" s="19" t="s">
        <v>271</v>
      </c>
      <c r="M61" s="19" t="s">
        <v>272</v>
      </c>
      <c r="N61" s="19" t="s">
        <v>185</v>
      </c>
      <c r="O61" s="18"/>
      <c r="P61" s="18"/>
    </row>
    <row r="62" spans="1:16" x14ac:dyDescent="0.25">
      <c r="A62" s="19" t="s">
        <v>110</v>
      </c>
      <c r="B62" s="19" t="s">
        <v>263</v>
      </c>
      <c r="C62" s="19" t="s">
        <v>264</v>
      </c>
      <c r="D62" s="19" t="s">
        <v>26</v>
      </c>
      <c r="E62" s="21">
        <v>42917</v>
      </c>
      <c r="F62" s="18"/>
      <c r="G62" s="19" t="s">
        <v>34</v>
      </c>
      <c r="H62" s="19" t="s">
        <v>30</v>
      </c>
      <c r="I62" s="19" t="s">
        <v>19</v>
      </c>
      <c r="J62" s="19" t="s">
        <v>20</v>
      </c>
      <c r="K62" s="18"/>
      <c r="L62" s="19" t="s">
        <v>273</v>
      </c>
      <c r="M62" s="19" t="s">
        <v>274</v>
      </c>
      <c r="N62" s="19" t="s">
        <v>195</v>
      </c>
      <c r="O62" s="19" t="s">
        <v>275</v>
      </c>
      <c r="P62" s="18"/>
    </row>
    <row r="63" spans="1:16" x14ac:dyDescent="0.25">
      <c r="A63" s="19" t="s">
        <v>110</v>
      </c>
      <c r="B63" s="19" t="s">
        <v>263</v>
      </c>
      <c r="C63" s="19" t="s">
        <v>264</v>
      </c>
      <c r="D63" s="19" t="s">
        <v>26</v>
      </c>
      <c r="E63" s="21">
        <v>42917</v>
      </c>
      <c r="F63" s="18"/>
      <c r="G63" s="19" t="s">
        <v>34</v>
      </c>
      <c r="H63" s="19" t="s">
        <v>30</v>
      </c>
      <c r="I63" s="19" t="s">
        <v>19</v>
      </c>
      <c r="J63" s="19" t="s">
        <v>20</v>
      </c>
      <c r="K63" s="18"/>
      <c r="L63" s="19" t="s">
        <v>276</v>
      </c>
      <c r="M63" s="19" t="s">
        <v>277</v>
      </c>
      <c r="N63" s="19" t="s">
        <v>185</v>
      </c>
      <c r="O63" s="18"/>
      <c r="P63" s="18"/>
    </row>
    <row r="64" spans="1:16" x14ac:dyDescent="0.25">
      <c r="A64" s="19" t="s">
        <v>110</v>
      </c>
      <c r="B64" s="19" t="s">
        <v>263</v>
      </c>
      <c r="C64" s="19" t="s">
        <v>264</v>
      </c>
      <c r="D64" s="19" t="s">
        <v>26</v>
      </c>
      <c r="E64" s="21">
        <v>42917</v>
      </c>
      <c r="F64" s="18"/>
      <c r="G64" s="19" t="s">
        <v>34</v>
      </c>
      <c r="H64" s="19" t="s">
        <v>30</v>
      </c>
      <c r="I64" s="19" t="s">
        <v>19</v>
      </c>
      <c r="J64" s="19" t="s">
        <v>20</v>
      </c>
      <c r="K64" s="18"/>
      <c r="L64" s="19" t="s">
        <v>278</v>
      </c>
      <c r="M64" s="19" t="s">
        <v>279</v>
      </c>
      <c r="N64" s="19" t="s">
        <v>247</v>
      </c>
      <c r="O64" s="19" t="s">
        <v>280</v>
      </c>
      <c r="P64" s="18"/>
    </row>
    <row r="65" spans="1:16" x14ac:dyDescent="0.25">
      <c r="A65" s="19" t="s">
        <v>110</v>
      </c>
      <c r="B65" s="19" t="s">
        <v>263</v>
      </c>
      <c r="C65" s="19" t="s">
        <v>264</v>
      </c>
      <c r="D65" s="19" t="s">
        <v>26</v>
      </c>
      <c r="E65" s="21">
        <v>42917</v>
      </c>
      <c r="F65" s="18"/>
      <c r="G65" s="19" t="s">
        <v>34</v>
      </c>
      <c r="H65" s="19" t="s">
        <v>30</v>
      </c>
      <c r="I65" s="19" t="s">
        <v>19</v>
      </c>
      <c r="J65" s="19" t="s">
        <v>20</v>
      </c>
      <c r="K65" s="18"/>
      <c r="L65" s="19" t="s">
        <v>281</v>
      </c>
      <c r="M65" s="19" t="s">
        <v>282</v>
      </c>
      <c r="N65" s="19" t="s">
        <v>185</v>
      </c>
      <c r="O65" s="19" t="s">
        <v>283</v>
      </c>
      <c r="P65" s="18"/>
    </row>
    <row r="66" spans="1:16" x14ac:dyDescent="0.25">
      <c r="A66" s="19" t="s">
        <v>110</v>
      </c>
      <c r="B66" s="19" t="s">
        <v>263</v>
      </c>
      <c r="C66" s="19" t="s">
        <v>264</v>
      </c>
      <c r="D66" s="19" t="s">
        <v>26</v>
      </c>
      <c r="E66" s="21">
        <v>42917</v>
      </c>
      <c r="F66" s="18"/>
      <c r="G66" s="19" t="s">
        <v>34</v>
      </c>
      <c r="H66" s="19" t="s">
        <v>30</v>
      </c>
      <c r="I66" s="19" t="s">
        <v>19</v>
      </c>
      <c r="J66" s="19" t="s">
        <v>20</v>
      </c>
      <c r="K66" s="18"/>
      <c r="L66" s="19" t="s">
        <v>284</v>
      </c>
      <c r="M66" s="19" t="s">
        <v>91</v>
      </c>
      <c r="N66" s="19" t="s">
        <v>247</v>
      </c>
      <c r="O66" s="19" t="s">
        <v>285</v>
      </c>
      <c r="P66" s="18"/>
    </row>
    <row r="67" spans="1:16" x14ac:dyDescent="0.25">
      <c r="A67" s="19" t="s">
        <v>110</v>
      </c>
      <c r="B67" s="19" t="s">
        <v>263</v>
      </c>
      <c r="C67" s="19" t="s">
        <v>264</v>
      </c>
      <c r="D67" s="19" t="s">
        <v>26</v>
      </c>
      <c r="E67" s="21">
        <v>42917</v>
      </c>
      <c r="F67" s="18"/>
      <c r="G67" s="19" t="s">
        <v>34</v>
      </c>
      <c r="H67" s="19" t="s">
        <v>30</v>
      </c>
      <c r="I67" s="19" t="s">
        <v>19</v>
      </c>
      <c r="J67" s="19" t="s">
        <v>20</v>
      </c>
      <c r="K67" s="18"/>
      <c r="L67" s="19" t="s">
        <v>286</v>
      </c>
      <c r="M67" s="19" t="s">
        <v>287</v>
      </c>
      <c r="N67" s="18"/>
      <c r="O67" s="19" t="s">
        <v>288</v>
      </c>
      <c r="P67" s="18"/>
    </row>
    <row r="68" spans="1:16" x14ac:dyDescent="0.25">
      <c r="A68" s="19" t="s">
        <v>110</v>
      </c>
      <c r="B68" s="19" t="s">
        <v>263</v>
      </c>
      <c r="C68" s="19" t="s">
        <v>264</v>
      </c>
      <c r="D68" s="19" t="s">
        <v>26</v>
      </c>
      <c r="E68" s="21">
        <v>42917</v>
      </c>
      <c r="F68" s="18"/>
      <c r="G68" s="19" t="s">
        <v>34</v>
      </c>
      <c r="H68" s="19" t="s">
        <v>30</v>
      </c>
      <c r="I68" s="19" t="s">
        <v>19</v>
      </c>
      <c r="J68" s="19" t="s">
        <v>20</v>
      </c>
      <c r="K68" s="18"/>
      <c r="L68" s="19" t="s">
        <v>286</v>
      </c>
      <c r="M68" s="19" t="s">
        <v>287</v>
      </c>
      <c r="N68" s="18"/>
      <c r="O68" s="19" t="s">
        <v>288</v>
      </c>
      <c r="P68" s="18"/>
    </row>
    <row r="69" spans="1:16" x14ac:dyDescent="0.25">
      <c r="A69" s="19" t="s">
        <v>105</v>
      </c>
      <c r="B69" s="19" t="s">
        <v>294</v>
      </c>
      <c r="C69" s="19" t="s">
        <v>295</v>
      </c>
      <c r="D69" s="19" t="s">
        <v>26</v>
      </c>
      <c r="E69" s="21">
        <v>42005</v>
      </c>
      <c r="F69" s="18"/>
      <c r="G69" s="19" t="s">
        <v>34</v>
      </c>
      <c r="H69" s="19" t="s">
        <v>30</v>
      </c>
      <c r="I69" s="19" t="s">
        <v>48</v>
      </c>
      <c r="J69" s="19" t="s">
        <v>20</v>
      </c>
      <c r="K69" s="18"/>
      <c r="L69" s="19" t="s">
        <v>296</v>
      </c>
      <c r="M69" s="19" t="s">
        <v>297</v>
      </c>
      <c r="N69" s="19" t="s">
        <v>134</v>
      </c>
      <c r="O69" s="19" t="s">
        <v>298</v>
      </c>
      <c r="P69" s="18"/>
    </row>
    <row r="70" spans="1:16" x14ac:dyDescent="0.25">
      <c r="A70" s="19" t="s">
        <v>105</v>
      </c>
      <c r="B70" s="19" t="s">
        <v>294</v>
      </c>
      <c r="C70" s="19" t="s">
        <v>295</v>
      </c>
      <c r="D70" s="19" t="s">
        <v>26</v>
      </c>
      <c r="E70" s="21">
        <v>42005</v>
      </c>
      <c r="F70" s="18"/>
      <c r="G70" s="19" t="s">
        <v>34</v>
      </c>
      <c r="H70" s="19" t="s">
        <v>30</v>
      </c>
      <c r="I70" s="19" t="s">
        <v>48</v>
      </c>
      <c r="J70" s="19" t="s">
        <v>20</v>
      </c>
      <c r="K70" s="18"/>
      <c r="L70" s="19" t="s">
        <v>299</v>
      </c>
      <c r="M70" s="19" t="s">
        <v>300</v>
      </c>
      <c r="N70" s="18"/>
      <c r="O70" s="19" t="s">
        <v>301</v>
      </c>
      <c r="P70" s="18"/>
    </row>
    <row r="71" spans="1:16" x14ac:dyDescent="0.25">
      <c r="A71" s="19" t="s">
        <v>105</v>
      </c>
      <c r="B71" s="19" t="s">
        <v>294</v>
      </c>
      <c r="C71" s="19" t="s">
        <v>295</v>
      </c>
      <c r="D71" s="19" t="s">
        <v>26</v>
      </c>
      <c r="E71" s="21">
        <v>42005</v>
      </c>
      <c r="F71" s="18"/>
      <c r="G71" s="19" t="s">
        <v>34</v>
      </c>
      <c r="H71" s="19" t="s">
        <v>30</v>
      </c>
      <c r="I71" s="19" t="s">
        <v>48</v>
      </c>
      <c r="J71" s="19" t="s">
        <v>20</v>
      </c>
      <c r="K71" s="18"/>
      <c r="L71" s="19" t="s">
        <v>290</v>
      </c>
      <c r="M71" s="19" t="s">
        <v>291</v>
      </c>
      <c r="N71" s="18"/>
      <c r="O71" s="19" t="s">
        <v>292</v>
      </c>
      <c r="P71" s="18"/>
    </row>
    <row r="72" spans="1:16" x14ac:dyDescent="0.25">
      <c r="A72" s="19" t="s">
        <v>105</v>
      </c>
      <c r="B72" s="19" t="s">
        <v>294</v>
      </c>
      <c r="C72" s="19" t="s">
        <v>295</v>
      </c>
      <c r="D72" s="19" t="s">
        <v>26</v>
      </c>
      <c r="E72" s="21">
        <v>42005</v>
      </c>
      <c r="F72" s="18"/>
      <c r="G72" s="19" t="s">
        <v>34</v>
      </c>
      <c r="H72" s="19" t="s">
        <v>30</v>
      </c>
      <c r="I72" s="19" t="s">
        <v>48</v>
      </c>
      <c r="J72" s="19" t="s">
        <v>20</v>
      </c>
      <c r="K72" s="18"/>
      <c r="L72" s="19" t="s">
        <v>249</v>
      </c>
      <c r="M72" s="19" t="s">
        <v>302</v>
      </c>
      <c r="N72" s="19" t="s">
        <v>134</v>
      </c>
      <c r="O72" s="18"/>
      <c r="P72" s="18"/>
    </row>
    <row r="73" spans="1:16" x14ac:dyDescent="0.25">
      <c r="A73" s="19" t="s">
        <v>105</v>
      </c>
      <c r="B73" s="19" t="s">
        <v>294</v>
      </c>
      <c r="C73" s="19" t="s">
        <v>295</v>
      </c>
      <c r="D73" s="19" t="s">
        <v>26</v>
      </c>
      <c r="E73" s="21">
        <v>42005</v>
      </c>
      <c r="F73" s="18"/>
      <c r="G73" s="19" t="s">
        <v>34</v>
      </c>
      <c r="H73" s="19" t="s">
        <v>30</v>
      </c>
      <c r="I73" s="19" t="s">
        <v>48</v>
      </c>
      <c r="J73" s="19" t="s">
        <v>20</v>
      </c>
      <c r="K73" s="18"/>
      <c r="L73" s="19" t="s">
        <v>303</v>
      </c>
      <c r="M73" s="19" t="s">
        <v>304</v>
      </c>
      <c r="N73" s="19" t="s">
        <v>134</v>
      </c>
      <c r="O73" s="18"/>
      <c r="P73" s="18"/>
    </row>
    <row r="74" spans="1:16" x14ac:dyDescent="0.25">
      <c r="A74" s="19" t="s">
        <v>105</v>
      </c>
      <c r="B74" s="19" t="s">
        <v>294</v>
      </c>
      <c r="C74" s="19" t="s">
        <v>295</v>
      </c>
      <c r="D74" s="19" t="s">
        <v>26</v>
      </c>
      <c r="E74" s="21">
        <v>42005</v>
      </c>
      <c r="F74" s="18"/>
      <c r="G74" s="19" t="s">
        <v>34</v>
      </c>
      <c r="H74" s="19" t="s">
        <v>30</v>
      </c>
      <c r="I74" s="19" t="s">
        <v>48</v>
      </c>
      <c r="J74" s="19" t="s">
        <v>20</v>
      </c>
      <c r="K74" s="18"/>
      <c r="L74" s="19" t="s">
        <v>305</v>
      </c>
      <c r="M74" s="19" t="s">
        <v>306</v>
      </c>
      <c r="N74" s="19" t="s">
        <v>134</v>
      </c>
      <c r="O74" s="18"/>
      <c r="P74" s="18"/>
    </row>
    <row r="75" spans="1:16" x14ac:dyDescent="0.25">
      <c r="A75" s="19" t="s">
        <v>105</v>
      </c>
      <c r="B75" s="19" t="s">
        <v>294</v>
      </c>
      <c r="C75" s="19" t="s">
        <v>295</v>
      </c>
      <c r="D75" s="19" t="s">
        <v>26</v>
      </c>
      <c r="E75" s="21">
        <v>42005</v>
      </c>
      <c r="F75" s="18"/>
      <c r="G75" s="19" t="s">
        <v>34</v>
      </c>
      <c r="H75" s="19" t="s">
        <v>30</v>
      </c>
      <c r="I75" s="19" t="s">
        <v>48</v>
      </c>
      <c r="J75" s="19" t="s">
        <v>20</v>
      </c>
      <c r="K75" s="18"/>
      <c r="L75" s="19" t="s">
        <v>307</v>
      </c>
      <c r="M75" s="19" t="s">
        <v>308</v>
      </c>
      <c r="N75" s="19" t="s">
        <v>134</v>
      </c>
      <c r="O75" s="18"/>
      <c r="P75" s="18"/>
    </row>
    <row r="76" spans="1:16" x14ac:dyDescent="0.25">
      <c r="A76" s="19" t="s">
        <v>105</v>
      </c>
      <c r="B76" s="19" t="s">
        <v>294</v>
      </c>
      <c r="C76" s="19" t="s">
        <v>295</v>
      </c>
      <c r="D76" s="19" t="s">
        <v>26</v>
      </c>
      <c r="E76" s="21">
        <v>42005</v>
      </c>
      <c r="F76" s="18"/>
      <c r="G76" s="19" t="s">
        <v>34</v>
      </c>
      <c r="H76" s="19" t="s">
        <v>30</v>
      </c>
      <c r="I76" s="19" t="s">
        <v>48</v>
      </c>
      <c r="J76" s="19" t="s">
        <v>20</v>
      </c>
      <c r="K76" s="18"/>
      <c r="L76" s="19" t="s">
        <v>309</v>
      </c>
      <c r="M76" s="19" t="s">
        <v>310</v>
      </c>
      <c r="N76" s="19" t="s">
        <v>134</v>
      </c>
      <c r="O76" s="18"/>
      <c r="P76" s="18"/>
    </row>
    <row r="77" spans="1:16" x14ac:dyDescent="0.25">
      <c r="A77" s="19" t="s">
        <v>105</v>
      </c>
      <c r="B77" s="19" t="s">
        <v>294</v>
      </c>
      <c r="C77" s="19" t="s">
        <v>295</v>
      </c>
      <c r="D77" s="19" t="s">
        <v>26</v>
      </c>
      <c r="E77" s="21">
        <v>42005</v>
      </c>
      <c r="F77" s="18"/>
      <c r="G77" s="19" t="s">
        <v>34</v>
      </c>
      <c r="H77" s="19" t="s">
        <v>30</v>
      </c>
      <c r="I77" s="19" t="s">
        <v>48</v>
      </c>
      <c r="J77" s="19" t="s">
        <v>20</v>
      </c>
      <c r="K77" s="18"/>
      <c r="L77" s="19" t="s">
        <v>296</v>
      </c>
      <c r="M77" s="19" t="s">
        <v>311</v>
      </c>
      <c r="N77" s="18"/>
      <c r="O77" s="19" t="s">
        <v>312</v>
      </c>
      <c r="P77" s="18"/>
    </row>
    <row r="78" spans="1:16" x14ac:dyDescent="0.25">
      <c r="A78" s="19" t="s">
        <v>105</v>
      </c>
      <c r="B78" s="19" t="s">
        <v>294</v>
      </c>
      <c r="C78" s="19" t="s">
        <v>295</v>
      </c>
      <c r="D78" s="19" t="s">
        <v>26</v>
      </c>
      <c r="E78" s="21">
        <v>42005</v>
      </c>
      <c r="F78" s="18"/>
      <c r="G78" s="19" t="s">
        <v>34</v>
      </c>
      <c r="H78" s="19" t="s">
        <v>30</v>
      </c>
      <c r="I78" s="19" t="s">
        <v>48</v>
      </c>
      <c r="J78" s="19" t="s">
        <v>20</v>
      </c>
      <c r="K78" s="18"/>
      <c r="L78" s="19" t="s">
        <v>286</v>
      </c>
      <c r="M78" s="19" t="s">
        <v>287</v>
      </c>
      <c r="N78" s="18"/>
      <c r="O78" s="19" t="s">
        <v>288</v>
      </c>
      <c r="P78" s="18"/>
    </row>
    <row r="79" spans="1:16" x14ac:dyDescent="0.25">
      <c r="A79" s="19" t="s">
        <v>105</v>
      </c>
      <c r="B79" s="19" t="s">
        <v>294</v>
      </c>
      <c r="C79" s="19" t="s">
        <v>295</v>
      </c>
      <c r="D79" s="19" t="s">
        <v>26</v>
      </c>
      <c r="E79" s="21">
        <v>42005</v>
      </c>
      <c r="F79" s="18"/>
      <c r="G79" s="19" t="s">
        <v>34</v>
      </c>
      <c r="H79" s="19" t="s">
        <v>30</v>
      </c>
      <c r="I79" s="19" t="s">
        <v>48</v>
      </c>
      <c r="J79" s="19" t="s">
        <v>20</v>
      </c>
      <c r="K79" s="18"/>
      <c r="L79" s="19" t="s">
        <v>286</v>
      </c>
      <c r="M79" s="19" t="s">
        <v>287</v>
      </c>
      <c r="N79" s="18"/>
      <c r="O79" s="19" t="s">
        <v>288</v>
      </c>
      <c r="P79" s="18"/>
    </row>
    <row r="80" spans="1:16" x14ac:dyDescent="0.25">
      <c r="A80" s="19" t="s">
        <v>105</v>
      </c>
      <c r="B80" s="19" t="s">
        <v>294</v>
      </c>
      <c r="C80" s="19" t="s">
        <v>295</v>
      </c>
      <c r="D80" s="19" t="s">
        <v>26</v>
      </c>
      <c r="E80" s="21">
        <v>42005</v>
      </c>
      <c r="F80" s="18"/>
      <c r="G80" s="19" t="s">
        <v>34</v>
      </c>
      <c r="H80" s="19" t="s">
        <v>30</v>
      </c>
      <c r="I80" s="19" t="s">
        <v>48</v>
      </c>
      <c r="J80" s="19" t="s">
        <v>20</v>
      </c>
      <c r="K80" s="18"/>
      <c r="L80" s="19" t="s">
        <v>313</v>
      </c>
      <c r="M80" s="19" t="s">
        <v>314</v>
      </c>
      <c r="N80" s="19" t="s">
        <v>134</v>
      </c>
      <c r="O80" s="18"/>
      <c r="P80" s="18"/>
    </row>
    <row r="81" spans="1:16" x14ac:dyDescent="0.25">
      <c r="A81" s="19" t="s">
        <v>105</v>
      </c>
      <c r="B81" s="19" t="s">
        <v>294</v>
      </c>
      <c r="C81" s="19" t="s">
        <v>295</v>
      </c>
      <c r="D81" s="19" t="s">
        <v>26</v>
      </c>
      <c r="E81" s="21">
        <v>42005</v>
      </c>
      <c r="F81" s="18"/>
      <c r="G81" s="19" t="s">
        <v>34</v>
      </c>
      <c r="H81" s="19" t="s">
        <v>30</v>
      </c>
      <c r="I81" s="19" t="s">
        <v>48</v>
      </c>
      <c r="J81" s="19" t="s">
        <v>20</v>
      </c>
      <c r="K81" s="18"/>
      <c r="L81" s="19" t="s">
        <v>315</v>
      </c>
      <c r="M81" s="19" t="s">
        <v>316</v>
      </c>
      <c r="N81" s="19" t="s">
        <v>162</v>
      </c>
      <c r="O81" s="19" t="s">
        <v>317</v>
      </c>
      <c r="P81" s="18"/>
    </row>
    <row r="82" spans="1:16" x14ac:dyDescent="0.25">
      <c r="A82" s="19" t="s">
        <v>105</v>
      </c>
      <c r="B82" s="19" t="s">
        <v>294</v>
      </c>
      <c r="C82" s="19" t="s">
        <v>295</v>
      </c>
      <c r="D82" s="19" t="s">
        <v>26</v>
      </c>
      <c r="E82" s="21">
        <v>42005</v>
      </c>
      <c r="F82" s="18"/>
      <c r="G82" s="19" t="s">
        <v>34</v>
      </c>
      <c r="H82" s="19" t="s">
        <v>30</v>
      </c>
      <c r="I82" s="19" t="s">
        <v>48</v>
      </c>
      <c r="J82" s="19" t="s">
        <v>20</v>
      </c>
      <c r="K82" s="18"/>
      <c r="L82" s="19" t="s">
        <v>318</v>
      </c>
      <c r="M82" s="19" t="s">
        <v>319</v>
      </c>
      <c r="N82" s="19" t="s">
        <v>247</v>
      </c>
      <c r="O82" s="19" t="s">
        <v>320</v>
      </c>
      <c r="P82" s="18"/>
    </row>
    <row r="83" spans="1:16" x14ac:dyDescent="0.25">
      <c r="A83" s="19" t="s">
        <v>105</v>
      </c>
      <c r="B83" s="19" t="s">
        <v>294</v>
      </c>
      <c r="C83" s="19" t="s">
        <v>295</v>
      </c>
      <c r="D83" s="19" t="s">
        <v>26</v>
      </c>
      <c r="E83" s="21">
        <v>42005</v>
      </c>
      <c r="F83" s="18"/>
      <c r="G83" s="19" t="s">
        <v>34</v>
      </c>
      <c r="H83" s="19" t="s">
        <v>30</v>
      </c>
      <c r="I83" s="19" t="s">
        <v>48</v>
      </c>
      <c r="J83" s="19" t="s">
        <v>20</v>
      </c>
      <c r="K83" s="18"/>
      <c r="L83" s="19" t="s">
        <v>286</v>
      </c>
      <c r="M83" s="19" t="s">
        <v>287</v>
      </c>
      <c r="N83" s="18"/>
      <c r="O83" s="19" t="s">
        <v>288</v>
      </c>
      <c r="P83" s="18"/>
    </row>
    <row r="84" spans="1:16" x14ac:dyDescent="0.25">
      <c r="A84" s="19" t="s">
        <v>105</v>
      </c>
      <c r="B84" s="19" t="s">
        <v>294</v>
      </c>
      <c r="C84" s="19" t="s">
        <v>295</v>
      </c>
      <c r="D84" s="19" t="s">
        <v>26</v>
      </c>
      <c r="E84" s="21">
        <v>42005</v>
      </c>
      <c r="F84" s="18"/>
      <c r="G84" s="19" t="s">
        <v>34</v>
      </c>
      <c r="H84" s="19" t="s">
        <v>30</v>
      </c>
      <c r="I84" s="19" t="s">
        <v>48</v>
      </c>
      <c r="J84" s="19" t="s">
        <v>20</v>
      </c>
      <c r="K84" s="18"/>
      <c r="L84" s="19" t="s">
        <v>286</v>
      </c>
      <c r="M84" s="19" t="s">
        <v>287</v>
      </c>
      <c r="N84" s="18"/>
      <c r="O84" s="19" t="s">
        <v>288</v>
      </c>
      <c r="P84" s="18"/>
    </row>
    <row r="85" spans="1:16" x14ac:dyDescent="0.25">
      <c r="A85" s="19" t="s">
        <v>112</v>
      </c>
      <c r="B85" s="19" t="s">
        <v>321</v>
      </c>
      <c r="C85" s="19" t="s">
        <v>264</v>
      </c>
      <c r="D85" s="19" t="s">
        <v>26</v>
      </c>
      <c r="E85" s="21">
        <v>42917</v>
      </c>
      <c r="F85" s="18"/>
      <c r="G85" s="19" t="s">
        <v>34</v>
      </c>
      <c r="H85" s="19" t="s">
        <v>30</v>
      </c>
      <c r="I85" s="19" t="s">
        <v>19</v>
      </c>
      <c r="J85" s="19" t="s">
        <v>20</v>
      </c>
      <c r="K85" s="18"/>
      <c r="L85" s="19" t="s">
        <v>322</v>
      </c>
      <c r="M85" s="19" t="s">
        <v>323</v>
      </c>
      <c r="N85" s="19" t="s">
        <v>169</v>
      </c>
      <c r="O85" s="19" t="s">
        <v>324</v>
      </c>
      <c r="P85" s="18"/>
    </row>
    <row r="86" spans="1:16" x14ac:dyDescent="0.25">
      <c r="A86" s="19" t="s">
        <v>112</v>
      </c>
      <c r="B86" s="19" t="s">
        <v>321</v>
      </c>
      <c r="C86" s="19" t="s">
        <v>264</v>
      </c>
      <c r="D86" s="19" t="s">
        <v>26</v>
      </c>
      <c r="E86" s="21">
        <v>42917</v>
      </c>
      <c r="F86" s="18"/>
      <c r="G86" s="19" t="s">
        <v>34</v>
      </c>
      <c r="H86" s="19" t="s">
        <v>30</v>
      </c>
      <c r="I86" s="19" t="s">
        <v>19</v>
      </c>
      <c r="J86" s="19" t="s">
        <v>20</v>
      </c>
      <c r="K86" s="18"/>
      <c r="L86" s="19" t="s">
        <v>289</v>
      </c>
      <c r="M86" s="19" t="s">
        <v>325</v>
      </c>
      <c r="N86" s="19" t="s">
        <v>195</v>
      </c>
      <c r="O86" s="19" t="s">
        <v>326</v>
      </c>
      <c r="P86" s="18"/>
    </row>
    <row r="87" spans="1:16" x14ac:dyDescent="0.25">
      <c r="A87" s="19" t="s">
        <v>112</v>
      </c>
      <c r="B87" s="19" t="s">
        <v>321</v>
      </c>
      <c r="C87" s="19" t="s">
        <v>264</v>
      </c>
      <c r="D87" s="19" t="s">
        <v>26</v>
      </c>
      <c r="E87" s="21">
        <v>42917</v>
      </c>
      <c r="F87" s="18"/>
      <c r="G87" s="19" t="s">
        <v>34</v>
      </c>
      <c r="H87" s="19" t="s">
        <v>30</v>
      </c>
      <c r="I87" s="19" t="s">
        <v>19</v>
      </c>
      <c r="J87" s="19" t="s">
        <v>20</v>
      </c>
      <c r="K87" s="18"/>
      <c r="L87" s="19" t="s">
        <v>327</v>
      </c>
      <c r="M87" s="19" t="s">
        <v>328</v>
      </c>
      <c r="N87" s="19" t="s">
        <v>185</v>
      </c>
      <c r="O87" s="18"/>
      <c r="P87" s="18"/>
    </row>
    <row r="88" spans="1:16" x14ac:dyDescent="0.25">
      <c r="A88" s="19" t="s">
        <v>112</v>
      </c>
      <c r="B88" s="19" t="s">
        <v>321</v>
      </c>
      <c r="C88" s="19" t="s">
        <v>264</v>
      </c>
      <c r="D88" s="19" t="s">
        <v>26</v>
      </c>
      <c r="E88" s="21">
        <v>42917</v>
      </c>
      <c r="F88" s="18"/>
      <c r="G88" s="19" t="s">
        <v>34</v>
      </c>
      <c r="H88" s="19" t="s">
        <v>30</v>
      </c>
      <c r="I88" s="19" t="s">
        <v>19</v>
      </c>
      <c r="J88" s="19" t="s">
        <v>20</v>
      </c>
      <c r="K88" s="18"/>
      <c r="L88" s="19" t="s">
        <v>329</v>
      </c>
      <c r="M88" s="19" t="s">
        <v>330</v>
      </c>
      <c r="N88" s="19" t="s">
        <v>185</v>
      </c>
      <c r="O88" s="18"/>
      <c r="P88" s="18"/>
    </row>
    <row r="89" spans="1:16" x14ac:dyDescent="0.25">
      <c r="A89" s="19" t="s">
        <v>112</v>
      </c>
      <c r="B89" s="19" t="s">
        <v>321</v>
      </c>
      <c r="C89" s="19" t="s">
        <v>264</v>
      </c>
      <c r="D89" s="19" t="s">
        <v>26</v>
      </c>
      <c r="E89" s="21">
        <v>42917</v>
      </c>
      <c r="F89" s="18"/>
      <c r="G89" s="19" t="s">
        <v>34</v>
      </c>
      <c r="H89" s="19" t="s">
        <v>30</v>
      </c>
      <c r="I89" s="19" t="s">
        <v>19</v>
      </c>
      <c r="J89" s="19" t="s">
        <v>20</v>
      </c>
      <c r="K89" s="18"/>
      <c r="L89" s="19" t="s">
        <v>331</v>
      </c>
      <c r="M89" s="19" t="s">
        <v>332</v>
      </c>
      <c r="N89" s="19" t="s">
        <v>185</v>
      </c>
      <c r="O89" s="18"/>
      <c r="P89" s="18"/>
    </row>
    <row r="90" spans="1:16" x14ac:dyDescent="0.25">
      <c r="A90" s="19" t="s">
        <v>112</v>
      </c>
      <c r="B90" s="19" t="s">
        <v>321</v>
      </c>
      <c r="C90" s="19" t="s">
        <v>264</v>
      </c>
      <c r="D90" s="19" t="s">
        <v>26</v>
      </c>
      <c r="E90" s="21">
        <v>42917</v>
      </c>
      <c r="F90" s="18"/>
      <c r="G90" s="19" t="s">
        <v>34</v>
      </c>
      <c r="H90" s="19" t="s">
        <v>30</v>
      </c>
      <c r="I90" s="19" t="s">
        <v>19</v>
      </c>
      <c r="J90" s="19" t="s">
        <v>20</v>
      </c>
      <c r="K90" s="18"/>
      <c r="L90" s="19" t="s">
        <v>259</v>
      </c>
      <c r="M90" s="19" t="s">
        <v>333</v>
      </c>
      <c r="N90" s="19" t="s">
        <v>334</v>
      </c>
      <c r="O90" s="18"/>
      <c r="P90" s="18"/>
    </row>
    <row r="91" spans="1:16" x14ac:dyDescent="0.25">
      <c r="A91" s="19" t="s">
        <v>112</v>
      </c>
      <c r="B91" s="19" t="s">
        <v>321</v>
      </c>
      <c r="C91" s="19" t="s">
        <v>264</v>
      </c>
      <c r="D91" s="19" t="s">
        <v>26</v>
      </c>
      <c r="E91" s="21">
        <v>42917</v>
      </c>
      <c r="F91" s="18"/>
      <c r="G91" s="19" t="s">
        <v>34</v>
      </c>
      <c r="H91" s="19" t="s">
        <v>30</v>
      </c>
      <c r="I91" s="19" t="s">
        <v>19</v>
      </c>
      <c r="J91" s="19" t="s">
        <v>20</v>
      </c>
      <c r="K91" s="18"/>
      <c r="L91" s="19" t="s">
        <v>278</v>
      </c>
      <c r="M91" s="19" t="s">
        <v>279</v>
      </c>
      <c r="N91" s="19" t="s">
        <v>247</v>
      </c>
      <c r="O91" s="19" t="s">
        <v>280</v>
      </c>
      <c r="P91" s="18"/>
    </row>
    <row r="92" spans="1:16" x14ac:dyDescent="0.25">
      <c r="A92" s="19" t="s">
        <v>112</v>
      </c>
      <c r="B92" s="19" t="s">
        <v>321</v>
      </c>
      <c r="C92" s="19" t="s">
        <v>264</v>
      </c>
      <c r="D92" s="19" t="s">
        <v>26</v>
      </c>
      <c r="E92" s="21">
        <v>42917</v>
      </c>
      <c r="F92" s="18"/>
      <c r="G92" s="19" t="s">
        <v>34</v>
      </c>
      <c r="H92" s="19" t="s">
        <v>30</v>
      </c>
      <c r="I92" s="19" t="s">
        <v>19</v>
      </c>
      <c r="J92" s="19" t="s">
        <v>20</v>
      </c>
      <c r="K92" s="18"/>
      <c r="L92" s="19" t="s">
        <v>286</v>
      </c>
      <c r="M92" s="19" t="s">
        <v>287</v>
      </c>
      <c r="N92" s="18"/>
      <c r="O92" s="19" t="s">
        <v>288</v>
      </c>
      <c r="P92" s="18"/>
    </row>
    <row r="93" spans="1:16" x14ac:dyDescent="0.25">
      <c r="A93" s="19" t="s">
        <v>112</v>
      </c>
      <c r="B93" s="19" t="s">
        <v>321</v>
      </c>
      <c r="C93" s="19" t="s">
        <v>264</v>
      </c>
      <c r="D93" s="19" t="s">
        <v>26</v>
      </c>
      <c r="E93" s="21">
        <v>42917</v>
      </c>
      <c r="F93" s="18"/>
      <c r="G93" s="19" t="s">
        <v>34</v>
      </c>
      <c r="H93" s="19" t="s">
        <v>30</v>
      </c>
      <c r="I93" s="19" t="s">
        <v>19</v>
      </c>
      <c r="J93" s="19" t="s">
        <v>20</v>
      </c>
      <c r="K93" s="18"/>
      <c r="L93" s="19" t="s">
        <v>335</v>
      </c>
      <c r="M93" s="19" t="s">
        <v>336</v>
      </c>
      <c r="N93" s="19" t="s">
        <v>337</v>
      </c>
      <c r="O93" s="19" t="s">
        <v>338</v>
      </c>
      <c r="P93" s="18"/>
    </row>
    <row r="94" spans="1:16" x14ac:dyDescent="0.25">
      <c r="A94" s="19" t="s">
        <v>112</v>
      </c>
      <c r="B94" s="19" t="s">
        <v>321</v>
      </c>
      <c r="C94" s="19" t="s">
        <v>264</v>
      </c>
      <c r="D94" s="19" t="s">
        <v>26</v>
      </c>
      <c r="E94" s="21">
        <v>42917</v>
      </c>
      <c r="F94" s="18"/>
      <c r="G94" s="19" t="s">
        <v>34</v>
      </c>
      <c r="H94" s="19" t="s">
        <v>30</v>
      </c>
      <c r="I94" s="19" t="s">
        <v>19</v>
      </c>
      <c r="J94" s="19" t="s">
        <v>20</v>
      </c>
      <c r="K94" s="18"/>
      <c r="L94" s="19" t="s">
        <v>339</v>
      </c>
      <c r="M94" s="19" t="s">
        <v>340</v>
      </c>
      <c r="N94" s="19" t="s">
        <v>247</v>
      </c>
      <c r="O94" s="19" t="s">
        <v>341</v>
      </c>
      <c r="P94" s="18"/>
    </row>
    <row r="95" spans="1:16" x14ac:dyDescent="0.25">
      <c r="A95" s="19" t="s">
        <v>112</v>
      </c>
      <c r="B95" s="19" t="s">
        <v>321</v>
      </c>
      <c r="C95" s="19" t="s">
        <v>264</v>
      </c>
      <c r="D95" s="19" t="s">
        <v>26</v>
      </c>
      <c r="E95" s="21">
        <v>42917</v>
      </c>
      <c r="F95" s="18"/>
      <c r="G95" s="19" t="s">
        <v>34</v>
      </c>
      <c r="H95" s="19" t="s">
        <v>30</v>
      </c>
      <c r="I95" s="19" t="s">
        <v>19</v>
      </c>
      <c r="J95" s="19" t="s">
        <v>20</v>
      </c>
      <c r="K95" s="18"/>
      <c r="L95" s="19" t="s">
        <v>286</v>
      </c>
      <c r="M95" s="19" t="s">
        <v>287</v>
      </c>
      <c r="N95" s="18"/>
      <c r="O95" s="19" t="s">
        <v>288</v>
      </c>
      <c r="P95" s="18"/>
    </row>
    <row r="96" spans="1:16" x14ac:dyDescent="0.25">
      <c r="A96" s="19" t="s">
        <v>103</v>
      </c>
      <c r="B96" s="19" t="s">
        <v>342</v>
      </c>
      <c r="C96" s="19" t="s">
        <v>343</v>
      </c>
      <c r="D96" s="19" t="s">
        <v>26</v>
      </c>
      <c r="E96" s="21">
        <v>42005</v>
      </c>
      <c r="F96" s="18"/>
      <c r="G96" s="19" t="s">
        <v>34</v>
      </c>
      <c r="H96" s="19" t="s">
        <v>30</v>
      </c>
      <c r="I96" s="19" t="s">
        <v>48</v>
      </c>
      <c r="J96" s="19" t="s">
        <v>20</v>
      </c>
      <c r="K96" s="18"/>
      <c r="L96" s="19" t="s">
        <v>344</v>
      </c>
      <c r="M96" s="19" t="s">
        <v>345</v>
      </c>
      <c r="N96" s="19" t="s">
        <v>169</v>
      </c>
      <c r="O96" s="19" t="s">
        <v>346</v>
      </c>
      <c r="P96" s="18"/>
    </row>
    <row r="97" spans="1:16" x14ac:dyDescent="0.25">
      <c r="A97" s="19" t="s">
        <v>103</v>
      </c>
      <c r="B97" s="19" t="s">
        <v>342</v>
      </c>
      <c r="C97" s="19" t="s">
        <v>343</v>
      </c>
      <c r="D97" s="19" t="s">
        <v>26</v>
      </c>
      <c r="E97" s="21">
        <v>42005</v>
      </c>
      <c r="F97" s="18"/>
      <c r="G97" s="19" t="s">
        <v>34</v>
      </c>
      <c r="H97" s="19" t="s">
        <v>30</v>
      </c>
      <c r="I97" s="19" t="s">
        <v>48</v>
      </c>
      <c r="J97" s="19" t="s">
        <v>20</v>
      </c>
      <c r="K97" s="18"/>
      <c r="L97" s="19" t="s">
        <v>290</v>
      </c>
      <c r="M97" s="19" t="s">
        <v>291</v>
      </c>
      <c r="N97" s="18"/>
      <c r="O97" s="19" t="s">
        <v>292</v>
      </c>
      <c r="P97" s="18"/>
    </row>
    <row r="98" spans="1:16" x14ac:dyDescent="0.25">
      <c r="A98" s="19" t="s">
        <v>103</v>
      </c>
      <c r="B98" s="19" t="s">
        <v>342</v>
      </c>
      <c r="C98" s="19" t="s">
        <v>343</v>
      </c>
      <c r="D98" s="19" t="s">
        <v>26</v>
      </c>
      <c r="E98" s="21">
        <v>42005</v>
      </c>
      <c r="F98" s="18"/>
      <c r="G98" s="19" t="s">
        <v>34</v>
      </c>
      <c r="H98" s="19" t="s">
        <v>30</v>
      </c>
      <c r="I98" s="19" t="s">
        <v>48</v>
      </c>
      <c r="J98" s="19" t="s">
        <v>20</v>
      </c>
      <c r="K98" s="18"/>
      <c r="L98" s="19" t="s">
        <v>347</v>
      </c>
      <c r="M98" s="19" t="s">
        <v>348</v>
      </c>
      <c r="N98" s="18"/>
      <c r="O98" s="19" t="s">
        <v>349</v>
      </c>
      <c r="P98" s="18"/>
    </row>
    <row r="99" spans="1:16" x14ac:dyDescent="0.25">
      <c r="A99" s="19" t="s">
        <v>103</v>
      </c>
      <c r="B99" s="19" t="s">
        <v>342</v>
      </c>
      <c r="C99" s="19" t="s">
        <v>343</v>
      </c>
      <c r="D99" s="19" t="s">
        <v>26</v>
      </c>
      <c r="E99" s="21">
        <v>42005</v>
      </c>
      <c r="F99" s="18"/>
      <c r="G99" s="19" t="s">
        <v>34</v>
      </c>
      <c r="H99" s="19" t="s">
        <v>30</v>
      </c>
      <c r="I99" s="19" t="s">
        <v>48</v>
      </c>
      <c r="J99" s="19" t="s">
        <v>20</v>
      </c>
      <c r="K99" s="18"/>
      <c r="L99" s="19" t="s">
        <v>350</v>
      </c>
      <c r="M99" s="19" t="s">
        <v>351</v>
      </c>
      <c r="N99" s="18"/>
      <c r="O99" s="18"/>
      <c r="P99" s="18"/>
    </row>
    <row r="100" spans="1:16" x14ac:dyDescent="0.25">
      <c r="A100" s="19" t="s">
        <v>103</v>
      </c>
      <c r="B100" s="19" t="s">
        <v>342</v>
      </c>
      <c r="C100" s="19" t="s">
        <v>343</v>
      </c>
      <c r="D100" s="19" t="s">
        <v>26</v>
      </c>
      <c r="E100" s="21">
        <v>42005</v>
      </c>
      <c r="F100" s="18"/>
      <c r="G100" s="19" t="s">
        <v>34</v>
      </c>
      <c r="H100" s="19" t="s">
        <v>30</v>
      </c>
      <c r="I100" s="19" t="s">
        <v>48</v>
      </c>
      <c r="J100" s="19" t="s">
        <v>20</v>
      </c>
      <c r="K100" s="18"/>
      <c r="L100" s="19" t="s">
        <v>296</v>
      </c>
      <c r="M100" s="19" t="s">
        <v>352</v>
      </c>
      <c r="N100" s="19" t="s">
        <v>134</v>
      </c>
      <c r="O100" s="18"/>
      <c r="P100" s="18"/>
    </row>
    <row r="101" spans="1:16" x14ac:dyDescent="0.25">
      <c r="A101" s="19" t="s">
        <v>103</v>
      </c>
      <c r="B101" s="19" t="s">
        <v>342</v>
      </c>
      <c r="C101" s="19" t="s">
        <v>343</v>
      </c>
      <c r="D101" s="19" t="s">
        <v>26</v>
      </c>
      <c r="E101" s="21">
        <v>42005</v>
      </c>
      <c r="F101" s="18"/>
      <c r="G101" s="19" t="s">
        <v>34</v>
      </c>
      <c r="H101" s="19" t="s">
        <v>30</v>
      </c>
      <c r="I101" s="19" t="s">
        <v>48</v>
      </c>
      <c r="J101" s="19" t="s">
        <v>20</v>
      </c>
      <c r="K101" s="18"/>
      <c r="L101" s="19" t="s">
        <v>353</v>
      </c>
      <c r="M101" s="19" t="s">
        <v>354</v>
      </c>
      <c r="N101" s="19" t="s">
        <v>134</v>
      </c>
      <c r="O101" s="18"/>
      <c r="P101" s="18"/>
    </row>
    <row r="102" spans="1:16" x14ac:dyDescent="0.25">
      <c r="A102" s="19" t="s">
        <v>103</v>
      </c>
      <c r="B102" s="19" t="s">
        <v>342</v>
      </c>
      <c r="C102" s="19" t="s">
        <v>343</v>
      </c>
      <c r="D102" s="19" t="s">
        <v>26</v>
      </c>
      <c r="E102" s="21">
        <v>42005</v>
      </c>
      <c r="F102" s="18"/>
      <c r="G102" s="19" t="s">
        <v>34</v>
      </c>
      <c r="H102" s="19" t="s">
        <v>30</v>
      </c>
      <c r="I102" s="19" t="s">
        <v>48</v>
      </c>
      <c r="J102" s="19" t="s">
        <v>20</v>
      </c>
      <c r="K102" s="18"/>
      <c r="L102" s="19" t="s">
        <v>303</v>
      </c>
      <c r="M102" s="19" t="s">
        <v>355</v>
      </c>
      <c r="N102" s="19" t="s">
        <v>134</v>
      </c>
      <c r="O102" s="18"/>
      <c r="P102" s="18"/>
    </row>
    <row r="103" spans="1:16" x14ac:dyDescent="0.25">
      <c r="A103" s="19" t="s">
        <v>103</v>
      </c>
      <c r="B103" s="19" t="s">
        <v>342</v>
      </c>
      <c r="C103" s="19" t="s">
        <v>343</v>
      </c>
      <c r="D103" s="19" t="s">
        <v>26</v>
      </c>
      <c r="E103" s="21">
        <v>42005</v>
      </c>
      <c r="F103" s="18"/>
      <c r="G103" s="19" t="s">
        <v>34</v>
      </c>
      <c r="H103" s="19" t="s">
        <v>30</v>
      </c>
      <c r="I103" s="19" t="s">
        <v>48</v>
      </c>
      <c r="J103" s="19" t="s">
        <v>20</v>
      </c>
      <c r="K103" s="18"/>
      <c r="L103" s="19" t="s">
        <v>339</v>
      </c>
      <c r="M103" s="19" t="s">
        <v>356</v>
      </c>
      <c r="N103" s="19" t="s">
        <v>134</v>
      </c>
      <c r="O103" s="18"/>
      <c r="P103" s="18"/>
    </row>
    <row r="104" spans="1:16" x14ac:dyDescent="0.25">
      <c r="A104" s="19" t="s">
        <v>103</v>
      </c>
      <c r="B104" s="19" t="s">
        <v>342</v>
      </c>
      <c r="C104" s="19" t="s">
        <v>343</v>
      </c>
      <c r="D104" s="19" t="s">
        <v>26</v>
      </c>
      <c r="E104" s="21">
        <v>42005</v>
      </c>
      <c r="F104" s="18"/>
      <c r="G104" s="19" t="s">
        <v>34</v>
      </c>
      <c r="H104" s="19" t="s">
        <v>30</v>
      </c>
      <c r="I104" s="19" t="s">
        <v>48</v>
      </c>
      <c r="J104" s="19" t="s">
        <v>20</v>
      </c>
      <c r="K104" s="18"/>
      <c r="L104" s="19" t="s">
        <v>212</v>
      </c>
      <c r="M104" s="19" t="s">
        <v>357</v>
      </c>
      <c r="N104" s="19" t="s">
        <v>134</v>
      </c>
      <c r="O104" s="18"/>
      <c r="P104" s="18"/>
    </row>
    <row r="105" spans="1:16" x14ac:dyDescent="0.25">
      <c r="A105" s="19" t="s">
        <v>103</v>
      </c>
      <c r="B105" s="19" t="s">
        <v>342</v>
      </c>
      <c r="C105" s="19" t="s">
        <v>343</v>
      </c>
      <c r="D105" s="19" t="s">
        <v>26</v>
      </c>
      <c r="E105" s="21">
        <v>42005</v>
      </c>
      <c r="F105" s="18"/>
      <c r="G105" s="19" t="s">
        <v>34</v>
      </c>
      <c r="H105" s="19" t="s">
        <v>30</v>
      </c>
      <c r="I105" s="19" t="s">
        <v>48</v>
      </c>
      <c r="J105" s="19" t="s">
        <v>20</v>
      </c>
      <c r="K105" s="18"/>
      <c r="L105" s="19" t="s">
        <v>149</v>
      </c>
      <c r="M105" s="19" t="s">
        <v>358</v>
      </c>
      <c r="N105" s="19" t="s">
        <v>134</v>
      </c>
      <c r="O105" s="18"/>
      <c r="P105" s="18"/>
    </row>
    <row r="106" spans="1:16" x14ac:dyDescent="0.25">
      <c r="A106" s="19" t="s">
        <v>103</v>
      </c>
      <c r="B106" s="19" t="s">
        <v>342</v>
      </c>
      <c r="C106" s="19" t="s">
        <v>343</v>
      </c>
      <c r="D106" s="19" t="s">
        <v>26</v>
      </c>
      <c r="E106" s="21">
        <v>42005</v>
      </c>
      <c r="F106" s="18"/>
      <c r="G106" s="19" t="s">
        <v>34</v>
      </c>
      <c r="H106" s="19" t="s">
        <v>30</v>
      </c>
      <c r="I106" s="19" t="s">
        <v>48</v>
      </c>
      <c r="J106" s="19" t="s">
        <v>20</v>
      </c>
      <c r="K106" s="18"/>
      <c r="L106" s="19" t="s">
        <v>350</v>
      </c>
      <c r="M106" s="19" t="s">
        <v>351</v>
      </c>
      <c r="N106" s="19" t="s">
        <v>134</v>
      </c>
      <c r="O106" s="18"/>
      <c r="P106" s="18"/>
    </row>
    <row r="107" spans="1:16" x14ac:dyDescent="0.25">
      <c r="A107" s="19" t="s">
        <v>103</v>
      </c>
      <c r="B107" s="19" t="s">
        <v>342</v>
      </c>
      <c r="C107" s="19" t="s">
        <v>343</v>
      </c>
      <c r="D107" s="19" t="s">
        <v>26</v>
      </c>
      <c r="E107" s="21">
        <v>42005</v>
      </c>
      <c r="F107" s="18"/>
      <c r="G107" s="19" t="s">
        <v>34</v>
      </c>
      <c r="H107" s="19" t="s">
        <v>30</v>
      </c>
      <c r="I107" s="19" t="s">
        <v>48</v>
      </c>
      <c r="J107" s="19" t="s">
        <v>20</v>
      </c>
      <c r="K107" s="18"/>
      <c r="L107" s="19" t="s">
        <v>243</v>
      </c>
      <c r="M107" s="19" t="s">
        <v>359</v>
      </c>
      <c r="N107" s="19" t="s">
        <v>134</v>
      </c>
      <c r="O107" s="18"/>
      <c r="P107" s="18"/>
    </row>
    <row r="108" spans="1:16" x14ac:dyDescent="0.25">
      <c r="A108" s="19" t="s">
        <v>103</v>
      </c>
      <c r="B108" s="19" t="s">
        <v>342</v>
      </c>
      <c r="C108" s="19" t="s">
        <v>343</v>
      </c>
      <c r="D108" s="19" t="s">
        <v>26</v>
      </c>
      <c r="E108" s="21">
        <v>42005</v>
      </c>
      <c r="F108" s="18"/>
      <c r="G108" s="19" t="s">
        <v>34</v>
      </c>
      <c r="H108" s="19" t="s">
        <v>30</v>
      </c>
      <c r="I108" s="19" t="s">
        <v>48</v>
      </c>
      <c r="J108" s="19" t="s">
        <v>20</v>
      </c>
      <c r="K108" s="18"/>
      <c r="L108" s="19" t="s">
        <v>286</v>
      </c>
      <c r="M108" s="19" t="s">
        <v>287</v>
      </c>
      <c r="N108" s="18"/>
      <c r="O108" s="19" t="s">
        <v>288</v>
      </c>
      <c r="P108" s="18"/>
    </row>
    <row r="109" spans="1:16" x14ac:dyDescent="0.25">
      <c r="A109" s="19" t="s">
        <v>103</v>
      </c>
      <c r="B109" s="19" t="s">
        <v>342</v>
      </c>
      <c r="C109" s="19" t="s">
        <v>343</v>
      </c>
      <c r="D109" s="19" t="s">
        <v>26</v>
      </c>
      <c r="E109" s="21">
        <v>42005</v>
      </c>
      <c r="F109" s="18"/>
      <c r="G109" s="19" t="s">
        <v>34</v>
      </c>
      <c r="H109" s="19" t="s">
        <v>30</v>
      </c>
      <c r="I109" s="19" t="s">
        <v>48</v>
      </c>
      <c r="J109" s="19" t="s">
        <v>20</v>
      </c>
      <c r="K109" s="18"/>
      <c r="L109" s="19" t="s">
        <v>360</v>
      </c>
      <c r="M109" s="19" t="s">
        <v>226</v>
      </c>
      <c r="N109" s="19" t="s">
        <v>247</v>
      </c>
      <c r="O109" s="19" t="s">
        <v>361</v>
      </c>
      <c r="P109" s="18"/>
    </row>
    <row r="110" spans="1:16" x14ac:dyDescent="0.25">
      <c r="A110" s="19" t="s">
        <v>103</v>
      </c>
      <c r="B110" s="19" t="s">
        <v>342</v>
      </c>
      <c r="C110" s="19" t="s">
        <v>343</v>
      </c>
      <c r="D110" s="19" t="s">
        <v>26</v>
      </c>
      <c r="E110" s="21">
        <v>42005</v>
      </c>
      <c r="F110" s="18"/>
      <c r="G110" s="19" t="s">
        <v>34</v>
      </c>
      <c r="H110" s="19" t="s">
        <v>30</v>
      </c>
      <c r="I110" s="19" t="s">
        <v>48</v>
      </c>
      <c r="J110" s="19" t="s">
        <v>20</v>
      </c>
      <c r="K110" s="18"/>
      <c r="L110" s="19" t="s">
        <v>286</v>
      </c>
      <c r="M110" s="19" t="s">
        <v>287</v>
      </c>
      <c r="N110" s="18"/>
      <c r="O110" s="19" t="s">
        <v>288</v>
      </c>
      <c r="P110" s="18"/>
    </row>
    <row r="111" spans="1:16" x14ac:dyDescent="0.25">
      <c r="A111" s="19" t="s">
        <v>111</v>
      </c>
      <c r="B111" s="19" t="s">
        <v>362</v>
      </c>
      <c r="C111" s="19" t="s">
        <v>363</v>
      </c>
      <c r="D111" s="19" t="s">
        <v>26</v>
      </c>
      <c r="E111" s="21">
        <v>42917</v>
      </c>
      <c r="F111" s="18"/>
      <c r="G111" s="19" t="s">
        <v>28</v>
      </c>
      <c r="H111" s="19" t="s">
        <v>30</v>
      </c>
      <c r="I111" s="19" t="s">
        <v>19</v>
      </c>
      <c r="J111" s="19" t="s">
        <v>29</v>
      </c>
      <c r="K111" s="18"/>
      <c r="L111" s="19" t="s">
        <v>364</v>
      </c>
      <c r="M111" s="19" t="s">
        <v>365</v>
      </c>
      <c r="N111" s="19" t="s">
        <v>169</v>
      </c>
      <c r="O111" s="19" t="s">
        <v>366</v>
      </c>
      <c r="P111" s="18"/>
    </row>
    <row r="112" spans="1:16" x14ac:dyDescent="0.25">
      <c r="A112" s="19" t="s">
        <v>111</v>
      </c>
      <c r="B112" s="19" t="s">
        <v>362</v>
      </c>
      <c r="C112" s="19" t="s">
        <v>363</v>
      </c>
      <c r="D112" s="19" t="s">
        <v>26</v>
      </c>
      <c r="E112" s="21">
        <v>42917</v>
      </c>
      <c r="F112" s="18"/>
      <c r="G112" s="19" t="s">
        <v>28</v>
      </c>
      <c r="H112" s="19" t="s">
        <v>30</v>
      </c>
      <c r="I112" s="19" t="s">
        <v>19</v>
      </c>
      <c r="J112" s="19" t="s">
        <v>29</v>
      </c>
      <c r="K112" s="18"/>
      <c r="L112" s="19" t="s">
        <v>190</v>
      </c>
      <c r="M112" s="19" t="s">
        <v>367</v>
      </c>
      <c r="N112" s="19" t="s">
        <v>247</v>
      </c>
      <c r="O112" s="19" t="s">
        <v>368</v>
      </c>
      <c r="P112" s="18"/>
    </row>
    <row r="113" spans="1:16" x14ac:dyDescent="0.25">
      <c r="A113" s="19" t="s">
        <v>102</v>
      </c>
      <c r="B113" s="19" t="s">
        <v>369</v>
      </c>
      <c r="C113" s="19" t="s">
        <v>343</v>
      </c>
      <c r="D113" s="19" t="s">
        <v>26</v>
      </c>
      <c r="E113" s="21">
        <v>42370</v>
      </c>
      <c r="F113" s="18"/>
      <c r="G113" s="19" t="s">
        <v>34</v>
      </c>
      <c r="H113" s="19" t="s">
        <v>18</v>
      </c>
      <c r="I113" s="19" t="s">
        <v>48</v>
      </c>
      <c r="J113" s="19" t="s">
        <v>20</v>
      </c>
      <c r="K113" s="18"/>
      <c r="L113" s="19" t="s">
        <v>370</v>
      </c>
      <c r="M113" s="19" t="s">
        <v>371</v>
      </c>
      <c r="N113" s="18"/>
      <c r="O113" s="19" t="s">
        <v>372</v>
      </c>
      <c r="P113" s="18"/>
    </row>
    <row r="114" spans="1:16" x14ac:dyDescent="0.25">
      <c r="A114" s="19" t="s">
        <v>102</v>
      </c>
      <c r="B114" s="19" t="s">
        <v>369</v>
      </c>
      <c r="C114" s="19" t="s">
        <v>343</v>
      </c>
      <c r="D114" s="19" t="s">
        <v>26</v>
      </c>
      <c r="E114" s="21">
        <v>42370</v>
      </c>
      <c r="F114" s="18"/>
      <c r="G114" s="19" t="s">
        <v>34</v>
      </c>
      <c r="H114" s="19" t="s">
        <v>18</v>
      </c>
      <c r="I114" s="19" t="s">
        <v>48</v>
      </c>
      <c r="J114" s="19" t="s">
        <v>20</v>
      </c>
      <c r="K114" s="18"/>
      <c r="L114" s="19" t="s">
        <v>373</v>
      </c>
      <c r="M114" s="19" t="s">
        <v>374</v>
      </c>
      <c r="N114" s="19" t="s">
        <v>375</v>
      </c>
      <c r="O114" s="19" t="s">
        <v>376</v>
      </c>
      <c r="P114" s="18"/>
    </row>
    <row r="115" spans="1:16" x14ac:dyDescent="0.25">
      <c r="A115" s="19" t="s">
        <v>102</v>
      </c>
      <c r="B115" s="19" t="s">
        <v>369</v>
      </c>
      <c r="C115" s="19" t="s">
        <v>343</v>
      </c>
      <c r="D115" s="19" t="s">
        <v>26</v>
      </c>
      <c r="E115" s="21">
        <v>42370</v>
      </c>
      <c r="F115" s="18"/>
      <c r="G115" s="19" t="s">
        <v>34</v>
      </c>
      <c r="H115" s="19" t="s">
        <v>18</v>
      </c>
      <c r="I115" s="19" t="s">
        <v>48</v>
      </c>
      <c r="J115" s="19" t="s">
        <v>20</v>
      </c>
      <c r="K115" s="18"/>
      <c r="L115" s="19" t="s">
        <v>377</v>
      </c>
      <c r="M115" s="19" t="s">
        <v>378</v>
      </c>
      <c r="N115" s="19" t="s">
        <v>185</v>
      </c>
      <c r="O115" s="19" t="s">
        <v>379</v>
      </c>
      <c r="P115" s="18"/>
    </row>
    <row r="116" spans="1:16" x14ac:dyDescent="0.25">
      <c r="A116" s="19" t="s">
        <v>102</v>
      </c>
      <c r="B116" s="19" t="s">
        <v>369</v>
      </c>
      <c r="C116" s="19" t="s">
        <v>343</v>
      </c>
      <c r="D116" s="19" t="s">
        <v>26</v>
      </c>
      <c r="E116" s="21">
        <v>42370</v>
      </c>
      <c r="F116" s="18"/>
      <c r="G116" s="19" t="s">
        <v>34</v>
      </c>
      <c r="H116" s="19" t="s">
        <v>18</v>
      </c>
      <c r="I116" s="19" t="s">
        <v>48</v>
      </c>
      <c r="J116" s="19" t="s">
        <v>20</v>
      </c>
      <c r="K116" s="18"/>
      <c r="L116" s="19" t="s">
        <v>380</v>
      </c>
      <c r="M116" s="19" t="s">
        <v>381</v>
      </c>
      <c r="N116" s="19" t="s">
        <v>185</v>
      </c>
      <c r="O116" s="18"/>
      <c r="P116" s="18"/>
    </row>
    <row r="117" spans="1:16" x14ac:dyDescent="0.25">
      <c r="A117" s="19" t="s">
        <v>102</v>
      </c>
      <c r="B117" s="19" t="s">
        <v>369</v>
      </c>
      <c r="C117" s="19" t="s">
        <v>343</v>
      </c>
      <c r="D117" s="19" t="s">
        <v>26</v>
      </c>
      <c r="E117" s="21">
        <v>42370</v>
      </c>
      <c r="F117" s="18"/>
      <c r="G117" s="19" t="s">
        <v>34</v>
      </c>
      <c r="H117" s="19" t="s">
        <v>18</v>
      </c>
      <c r="I117" s="19" t="s">
        <v>48</v>
      </c>
      <c r="J117" s="19" t="s">
        <v>20</v>
      </c>
      <c r="K117" s="18"/>
      <c r="L117" s="19" t="s">
        <v>373</v>
      </c>
      <c r="M117" s="19" t="s">
        <v>374</v>
      </c>
      <c r="N117" s="19" t="s">
        <v>375</v>
      </c>
      <c r="O117" s="19" t="s">
        <v>376</v>
      </c>
      <c r="P117" s="18"/>
    </row>
    <row r="118" spans="1:16" x14ac:dyDescent="0.25">
      <c r="A118" s="19" t="s">
        <v>106</v>
      </c>
      <c r="B118" s="19" t="s">
        <v>383</v>
      </c>
      <c r="C118" s="19" t="s">
        <v>384</v>
      </c>
      <c r="D118" s="19" t="s">
        <v>26</v>
      </c>
      <c r="E118" s="21">
        <v>42370</v>
      </c>
      <c r="F118" s="18"/>
      <c r="G118" s="19" t="s">
        <v>34</v>
      </c>
      <c r="H118" s="19" t="s">
        <v>30</v>
      </c>
      <c r="I118" s="19" t="s">
        <v>48</v>
      </c>
      <c r="J118" s="19" t="s">
        <v>20</v>
      </c>
      <c r="K118" s="18"/>
      <c r="L118" s="19" t="s">
        <v>385</v>
      </c>
      <c r="M118" s="19" t="s">
        <v>386</v>
      </c>
      <c r="N118" s="19" t="s">
        <v>134</v>
      </c>
      <c r="O118" s="19" t="s">
        <v>387</v>
      </c>
      <c r="P118" s="18"/>
    </row>
    <row r="119" spans="1:16" x14ac:dyDescent="0.25">
      <c r="A119" s="19" t="s">
        <v>106</v>
      </c>
      <c r="B119" s="19" t="s">
        <v>383</v>
      </c>
      <c r="C119" s="19" t="s">
        <v>384</v>
      </c>
      <c r="D119" s="19" t="s">
        <v>26</v>
      </c>
      <c r="E119" s="21">
        <v>42370</v>
      </c>
      <c r="F119" s="18"/>
      <c r="G119" s="19" t="s">
        <v>34</v>
      </c>
      <c r="H119" s="19" t="s">
        <v>30</v>
      </c>
      <c r="I119" s="19" t="s">
        <v>48</v>
      </c>
      <c r="J119" s="19" t="s">
        <v>20</v>
      </c>
      <c r="K119" s="18"/>
      <c r="L119" s="19" t="s">
        <v>175</v>
      </c>
      <c r="M119" s="19" t="s">
        <v>388</v>
      </c>
      <c r="N119" s="18"/>
      <c r="O119" s="19" t="s">
        <v>389</v>
      </c>
      <c r="P119" s="18"/>
    </row>
    <row r="120" spans="1:16" x14ac:dyDescent="0.25">
      <c r="A120" s="19" t="s">
        <v>106</v>
      </c>
      <c r="B120" s="19" t="s">
        <v>383</v>
      </c>
      <c r="C120" s="19" t="s">
        <v>384</v>
      </c>
      <c r="D120" s="19" t="s">
        <v>26</v>
      </c>
      <c r="E120" s="21">
        <v>42370</v>
      </c>
      <c r="F120" s="18"/>
      <c r="G120" s="19" t="s">
        <v>34</v>
      </c>
      <c r="H120" s="19" t="s">
        <v>30</v>
      </c>
      <c r="I120" s="19" t="s">
        <v>48</v>
      </c>
      <c r="J120" s="19" t="s">
        <v>20</v>
      </c>
      <c r="K120" s="18"/>
      <c r="L120" s="19" t="s">
        <v>390</v>
      </c>
      <c r="M120" s="19" t="s">
        <v>391</v>
      </c>
      <c r="N120" s="19" t="s">
        <v>134</v>
      </c>
      <c r="O120" s="18"/>
      <c r="P120" s="18"/>
    </row>
    <row r="121" spans="1:16" x14ac:dyDescent="0.25">
      <c r="A121" s="19" t="s">
        <v>106</v>
      </c>
      <c r="B121" s="19" t="s">
        <v>383</v>
      </c>
      <c r="C121" s="19" t="s">
        <v>384</v>
      </c>
      <c r="D121" s="19" t="s">
        <v>26</v>
      </c>
      <c r="E121" s="21">
        <v>42370</v>
      </c>
      <c r="F121" s="18"/>
      <c r="G121" s="19" t="s">
        <v>34</v>
      </c>
      <c r="H121" s="19" t="s">
        <v>30</v>
      </c>
      <c r="I121" s="19" t="s">
        <v>48</v>
      </c>
      <c r="J121" s="19" t="s">
        <v>20</v>
      </c>
      <c r="K121" s="18"/>
      <c r="L121" s="19" t="s">
        <v>392</v>
      </c>
      <c r="M121" s="19" t="s">
        <v>393</v>
      </c>
      <c r="N121" s="19" t="s">
        <v>134</v>
      </c>
      <c r="O121" s="18"/>
      <c r="P121" s="18"/>
    </row>
    <row r="122" spans="1:16" x14ac:dyDescent="0.25">
      <c r="A122" s="19" t="s">
        <v>106</v>
      </c>
      <c r="B122" s="19" t="s">
        <v>383</v>
      </c>
      <c r="C122" s="19" t="s">
        <v>384</v>
      </c>
      <c r="D122" s="19" t="s">
        <v>26</v>
      </c>
      <c r="E122" s="21">
        <v>42370</v>
      </c>
      <c r="F122" s="18"/>
      <c r="G122" s="19" t="s">
        <v>34</v>
      </c>
      <c r="H122" s="19" t="s">
        <v>30</v>
      </c>
      <c r="I122" s="19" t="s">
        <v>48</v>
      </c>
      <c r="J122" s="19" t="s">
        <v>20</v>
      </c>
      <c r="K122" s="18"/>
      <c r="L122" s="19" t="s">
        <v>394</v>
      </c>
      <c r="M122" s="19" t="s">
        <v>395</v>
      </c>
      <c r="N122" s="19" t="s">
        <v>134</v>
      </c>
      <c r="O122" s="18"/>
      <c r="P122" s="18"/>
    </row>
    <row r="123" spans="1:16" x14ac:dyDescent="0.25">
      <c r="A123" s="19" t="s">
        <v>106</v>
      </c>
      <c r="B123" s="19" t="s">
        <v>383</v>
      </c>
      <c r="C123" s="19" t="s">
        <v>384</v>
      </c>
      <c r="D123" s="19" t="s">
        <v>26</v>
      </c>
      <c r="E123" s="21">
        <v>42370</v>
      </c>
      <c r="F123" s="18"/>
      <c r="G123" s="19" t="s">
        <v>34</v>
      </c>
      <c r="H123" s="19" t="s">
        <v>30</v>
      </c>
      <c r="I123" s="19" t="s">
        <v>48</v>
      </c>
      <c r="J123" s="19" t="s">
        <v>20</v>
      </c>
      <c r="K123" s="18"/>
      <c r="L123" s="19" t="s">
        <v>396</v>
      </c>
      <c r="M123" s="19" t="s">
        <v>397</v>
      </c>
      <c r="N123" s="19" t="s">
        <v>134</v>
      </c>
      <c r="O123" s="18"/>
      <c r="P123" s="18"/>
    </row>
    <row r="124" spans="1:16" x14ac:dyDescent="0.25">
      <c r="A124" s="19" t="s">
        <v>106</v>
      </c>
      <c r="B124" s="19" t="s">
        <v>383</v>
      </c>
      <c r="C124" s="19" t="s">
        <v>384</v>
      </c>
      <c r="D124" s="19" t="s">
        <v>26</v>
      </c>
      <c r="E124" s="21">
        <v>42370</v>
      </c>
      <c r="F124" s="18"/>
      <c r="G124" s="19" t="s">
        <v>34</v>
      </c>
      <c r="H124" s="19" t="s">
        <v>30</v>
      </c>
      <c r="I124" s="19" t="s">
        <v>48</v>
      </c>
      <c r="J124" s="19" t="s">
        <v>20</v>
      </c>
      <c r="K124" s="18"/>
      <c r="L124" s="19" t="s">
        <v>398</v>
      </c>
      <c r="M124" s="19" t="s">
        <v>399</v>
      </c>
      <c r="N124" s="19" t="s">
        <v>134</v>
      </c>
      <c r="O124" s="18"/>
      <c r="P124" s="18"/>
    </row>
    <row r="125" spans="1:16" x14ac:dyDescent="0.25">
      <c r="A125" s="19" t="s">
        <v>106</v>
      </c>
      <c r="B125" s="19" t="s">
        <v>383</v>
      </c>
      <c r="C125" s="19" t="s">
        <v>384</v>
      </c>
      <c r="D125" s="19" t="s">
        <v>26</v>
      </c>
      <c r="E125" s="21">
        <v>42370</v>
      </c>
      <c r="F125" s="18"/>
      <c r="G125" s="19" t="s">
        <v>34</v>
      </c>
      <c r="H125" s="19" t="s">
        <v>30</v>
      </c>
      <c r="I125" s="19" t="s">
        <v>48</v>
      </c>
      <c r="J125" s="19" t="s">
        <v>20</v>
      </c>
      <c r="K125" s="18"/>
      <c r="L125" s="19" t="s">
        <v>400</v>
      </c>
      <c r="M125" s="19" t="s">
        <v>401</v>
      </c>
      <c r="N125" s="19" t="s">
        <v>134</v>
      </c>
      <c r="O125" s="18"/>
      <c r="P125" s="18"/>
    </row>
    <row r="126" spans="1:16" x14ac:dyDescent="0.25">
      <c r="A126" s="19" t="s">
        <v>106</v>
      </c>
      <c r="B126" s="19" t="s">
        <v>383</v>
      </c>
      <c r="C126" s="19" t="s">
        <v>384</v>
      </c>
      <c r="D126" s="19" t="s">
        <v>26</v>
      </c>
      <c r="E126" s="21">
        <v>42370</v>
      </c>
      <c r="F126" s="18"/>
      <c r="G126" s="19" t="s">
        <v>34</v>
      </c>
      <c r="H126" s="19" t="s">
        <v>30</v>
      </c>
      <c r="I126" s="19" t="s">
        <v>48</v>
      </c>
      <c r="J126" s="19" t="s">
        <v>20</v>
      </c>
      <c r="K126" s="18"/>
      <c r="L126" s="19" t="s">
        <v>402</v>
      </c>
      <c r="M126" s="19" t="s">
        <v>403</v>
      </c>
      <c r="N126" s="19" t="s">
        <v>134</v>
      </c>
      <c r="O126" s="18"/>
      <c r="P126" s="18"/>
    </row>
    <row r="127" spans="1:16" x14ac:dyDescent="0.25">
      <c r="A127" s="19" t="s">
        <v>106</v>
      </c>
      <c r="B127" s="19" t="s">
        <v>383</v>
      </c>
      <c r="C127" s="19" t="s">
        <v>384</v>
      </c>
      <c r="D127" s="19" t="s">
        <v>26</v>
      </c>
      <c r="E127" s="21">
        <v>42370</v>
      </c>
      <c r="F127" s="18"/>
      <c r="G127" s="19" t="s">
        <v>34</v>
      </c>
      <c r="H127" s="19" t="s">
        <v>30</v>
      </c>
      <c r="I127" s="19" t="s">
        <v>48</v>
      </c>
      <c r="J127" s="19" t="s">
        <v>20</v>
      </c>
      <c r="K127" s="18"/>
      <c r="L127" s="19" t="s">
        <v>404</v>
      </c>
      <c r="M127" s="19" t="s">
        <v>152</v>
      </c>
      <c r="N127" s="18"/>
      <c r="O127" s="19" t="s">
        <v>405</v>
      </c>
      <c r="P127" s="18"/>
    </row>
    <row r="128" spans="1:16" x14ac:dyDescent="0.25">
      <c r="A128" s="19" t="s">
        <v>106</v>
      </c>
      <c r="B128" s="19" t="s">
        <v>383</v>
      </c>
      <c r="C128" s="19" t="s">
        <v>384</v>
      </c>
      <c r="D128" s="19" t="s">
        <v>26</v>
      </c>
      <c r="E128" s="21">
        <v>42370</v>
      </c>
      <c r="F128" s="18"/>
      <c r="G128" s="19" t="s">
        <v>34</v>
      </c>
      <c r="H128" s="19" t="s">
        <v>30</v>
      </c>
      <c r="I128" s="19" t="s">
        <v>48</v>
      </c>
      <c r="J128" s="19" t="s">
        <v>20</v>
      </c>
      <c r="K128" s="18"/>
      <c r="L128" s="19" t="s">
        <v>406</v>
      </c>
      <c r="M128" s="19" t="s">
        <v>407</v>
      </c>
      <c r="N128" s="19" t="s">
        <v>247</v>
      </c>
      <c r="O128" s="19" t="s">
        <v>408</v>
      </c>
      <c r="P128" s="18"/>
    </row>
    <row r="129" spans="1:16" x14ac:dyDescent="0.25">
      <c r="A129" s="19" t="s">
        <v>117</v>
      </c>
      <c r="B129" s="19" t="s">
        <v>409</v>
      </c>
      <c r="C129" s="19" t="s">
        <v>32</v>
      </c>
      <c r="D129" s="19" t="s">
        <v>26</v>
      </c>
      <c r="E129" s="21">
        <v>42917</v>
      </c>
      <c r="F129" s="18"/>
      <c r="G129" s="19" t="s">
        <v>34</v>
      </c>
      <c r="H129" s="19" t="s">
        <v>30</v>
      </c>
      <c r="I129" s="19" t="s">
        <v>19</v>
      </c>
      <c r="J129" s="19" t="s">
        <v>29</v>
      </c>
      <c r="K129" s="18"/>
      <c r="L129" s="19" t="s">
        <v>410</v>
      </c>
      <c r="M129" s="19" t="s">
        <v>411</v>
      </c>
      <c r="N129" s="19" t="s">
        <v>169</v>
      </c>
      <c r="O129" s="19" t="s">
        <v>412</v>
      </c>
      <c r="P129" s="18"/>
    </row>
    <row r="130" spans="1:16" x14ac:dyDescent="0.25">
      <c r="A130" s="19" t="s">
        <v>117</v>
      </c>
      <c r="B130" s="19" t="s">
        <v>409</v>
      </c>
      <c r="C130" s="19" t="s">
        <v>32</v>
      </c>
      <c r="D130" s="19" t="s">
        <v>26</v>
      </c>
      <c r="E130" s="21">
        <v>42917</v>
      </c>
      <c r="F130" s="18"/>
      <c r="G130" s="19" t="s">
        <v>34</v>
      </c>
      <c r="H130" s="19" t="s">
        <v>30</v>
      </c>
      <c r="I130" s="19" t="s">
        <v>19</v>
      </c>
      <c r="J130" s="19" t="s">
        <v>29</v>
      </c>
      <c r="K130" s="18"/>
      <c r="L130" s="19" t="s">
        <v>413</v>
      </c>
      <c r="M130" s="19" t="s">
        <v>414</v>
      </c>
      <c r="N130" s="19" t="s">
        <v>185</v>
      </c>
      <c r="O130" s="18"/>
      <c r="P130" s="18"/>
    </row>
    <row r="131" spans="1:16" x14ac:dyDescent="0.25">
      <c r="A131" s="19" t="s">
        <v>117</v>
      </c>
      <c r="B131" s="19" t="s">
        <v>409</v>
      </c>
      <c r="C131" s="19" t="s">
        <v>32</v>
      </c>
      <c r="D131" s="19" t="s">
        <v>26</v>
      </c>
      <c r="E131" s="21">
        <v>42917</v>
      </c>
      <c r="F131" s="18"/>
      <c r="G131" s="19" t="s">
        <v>34</v>
      </c>
      <c r="H131" s="19" t="s">
        <v>30</v>
      </c>
      <c r="I131" s="19" t="s">
        <v>19</v>
      </c>
      <c r="J131" s="19" t="s">
        <v>29</v>
      </c>
      <c r="K131" s="18"/>
      <c r="L131" s="19" t="s">
        <v>360</v>
      </c>
      <c r="M131" s="19" t="s">
        <v>415</v>
      </c>
      <c r="N131" s="19" t="s">
        <v>185</v>
      </c>
      <c r="O131" s="18"/>
      <c r="P131" s="18"/>
    </row>
    <row r="132" spans="1:16" x14ac:dyDescent="0.25">
      <c r="A132" s="19" t="s">
        <v>117</v>
      </c>
      <c r="B132" s="19" t="s">
        <v>409</v>
      </c>
      <c r="C132" s="19" t="s">
        <v>32</v>
      </c>
      <c r="D132" s="19" t="s">
        <v>26</v>
      </c>
      <c r="E132" s="21">
        <v>42917</v>
      </c>
      <c r="F132" s="18"/>
      <c r="G132" s="19" t="s">
        <v>34</v>
      </c>
      <c r="H132" s="19" t="s">
        <v>30</v>
      </c>
      <c r="I132" s="19" t="s">
        <v>19</v>
      </c>
      <c r="J132" s="19" t="s">
        <v>29</v>
      </c>
      <c r="K132" s="18"/>
      <c r="L132" s="19" t="s">
        <v>416</v>
      </c>
      <c r="M132" s="19" t="s">
        <v>417</v>
      </c>
      <c r="N132" s="19" t="s">
        <v>185</v>
      </c>
      <c r="O132" s="18"/>
      <c r="P132" s="18"/>
    </row>
    <row r="133" spans="1:16" x14ac:dyDescent="0.25">
      <c r="A133" s="19" t="s">
        <v>117</v>
      </c>
      <c r="B133" s="19" t="s">
        <v>409</v>
      </c>
      <c r="C133" s="19" t="s">
        <v>32</v>
      </c>
      <c r="D133" s="19" t="s">
        <v>26</v>
      </c>
      <c r="E133" s="21">
        <v>42917</v>
      </c>
      <c r="F133" s="18"/>
      <c r="G133" s="19" t="s">
        <v>34</v>
      </c>
      <c r="H133" s="19" t="s">
        <v>30</v>
      </c>
      <c r="I133" s="19" t="s">
        <v>19</v>
      </c>
      <c r="J133" s="19" t="s">
        <v>29</v>
      </c>
      <c r="K133" s="18"/>
      <c r="L133" s="19" t="s">
        <v>296</v>
      </c>
      <c r="M133" s="19" t="s">
        <v>418</v>
      </c>
      <c r="N133" s="19" t="s">
        <v>134</v>
      </c>
      <c r="O133" s="18"/>
      <c r="P133" s="18"/>
    </row>
    <row r="134" spans="1:16" x14ac:dyDescent="0.25">
      <c r="A134" s="19" t="s">
        <v>117</v>
      </c>
      <c r="B134" s="19" t="s">
        <v>409</v>
      </c>
      <c r="C134" s="19" t="s">
        <v>32</v>
      </c>
      <c r="D134" s="19" t="s">
        <v>26</v>
      </c>
      <c r="E134" s="21">
        <v>42917</v>
      </c>
      <c r="F134" s="18"/>
      <c r="G134" s="19" t="s">
        <v>34</v>
      </c>
      <c r="H134" s="19" t="s">
        <v>30</v>
      </c>
      <c r="I134" s="19" t="s">
        <v>19</v>
      </c>
      <c r="J134" s="19" t="s">
        <v>29</v>
      </c>
      <c r="K134" s="18"/>
      <c r="L134" s="19" t="s">
        <v>419</v>
      </c>
      <c r="M134" s="19" t="s">
        <v>420</v>
      </c>
      <c r="N134" s="18"/>
      <c r="O134" s="19" t="s">
        <v>421</v>
      </c>
      <c r="P134" s="18"/>
    </row>
    <row r="135" spans="1:16" ht="26.25" x14ac:dyDescent="0.25">
      <c r="A135" s="19" t="s">
        <v>107</v>
      </c>
      <c r="B135" s="19" t="s">
        <v>422</v>
      </c>
      <c r="C135" s="19" t="s">
        <v>32</v>
      </c>
      <c r="D135" s="19" t="s">
        <v>26</v>
      </c>
      <c r="E135" s="21">
        <v>42370</v>
      </c>
      <c r="F135" s="18"/>
      <c r="G135" s="19" t="s">
        <v>34</v>
      </c>
      <c r="H135" s="19" t="s">
        <v>30</v>
      </c>
      <c r="I135" s="19" t="s">
        <v>48</v>
      </c>
      <c r="J135" s="19" t="s">
        <v>29</v>
      </c>
      <c r="K135" s="18"/>
      <c r="L135" s="19" t="s">
        <v>423</v>
      </c>
      <c r="M135" s="19" t="s">
        <v>424</v>
      </c>
      <c r="N135" s="19" t="s">
        <v>134</v>
      </c>
      <c r="O135" s="19" t="s">
        <v>425</v>
      </c>
      <c r="P135" s="18"/>
    </row>
    <row r="136" spans="1:16" ht="26.25" x14ac:dyDescent="0.25">
      <c r="A136" s="19" t="s">
        <v>107</v>
      </c>
      <c r="B136" s="19" t="s">
        <v>422</v>
      </c>
      <c r="C136" s="19" t="s">
        <v>32</v>
      </c>
      <c r="D136" s="19" t="s">
        <v>26</v>
      </c>
      <c r="E136" s="21">
        <v>42370</v>
      </c>
      <c r="F136" s="18"/>
      <c r="G136" s="19" t="s">
        <v>34</v>
      </c>
      <c r="H136" s="19" t="s">
        <v>30</v>
      </c>
      <c r="I136" s="19" t="s">
        <v>48</v>
      </c>
      <c r="J136" s="19" t="s">
        <v>29</v>
      </c>
      <c r="K136" s="18"/>
      <c r="L136" s="19" t="s">
        <v>426</v>
      </c>
      <c r="M136" s="19" t="s">
        <v>427</v>
      </c>
      <c r="N136" s="18"/>
      <c r="O136" s="18"/>
      <c r="P136" s="18"/>
    </row>
    <row r="137" spans="1:16" ht="26.25" x14ac:dyDescent="0.25">
      <c r="A137" s="19" t="s">
        <v>107</v>
      </c>
      <c r="B137" s="19" t="s">
        <v>422</v>
      </c>
      <c r="C137" s="19" t="s">
        <v>32</v>
      </c>
      <c r="D137" s="19" t="s">
        <v>26</v>
      </c>
      <c r="E137" s="21">
        <v>42370</v>
      </c>
      <c r="F137" s="18"/>
      <c r="G137" s="19" t="s">
        <v>34</v>
      </c>
      <c r="H137" s="19" t="s">
        <v>30</v>
      </c>
      <c r="I137" s="19" t="s">
        <v>48</v>
      </c>
      <c r="J137" s="19" t="s">
        <v>29</v>
      </c>
      <c r="K137" s="18"/>
      <c r="L137" s="19" t="s">
        <v>428</v>
      </c>
      <c r="M137" s="19" t="s">
        <v>429</v>
      </c>
      <c r="N137" s="18"/>
      <c r="O137" s="19" t="s">
        <v>430</v>
      </c>
      <c r="P137" s="18"/>
    </row>
    <row r="138" spans="1:16" ht="26.25" x14ac:dyDescent="0.25">
      <c r="A138" s="19" t="s">
        <v>107</v>
      </c>
      <c r="B138" s="19" t="s">
        <v>422</v>
      </c>
      <c r="C138" s="19" t="s">
        <v>32</v>
      </c>
      <c r="D138" s="19" t="s">
        <v>26</v>
      </c>
      <c r="E138" s="21">
        <v>42370</v>
      </c>
      <c r="F138" s="18"/>
      <c r="G138" s="19" t="s">
        <v>34</v>
      </c>
      <c r="H138" s="19" t="s">
        <v>30</v>
      </c>
      <c r="I138" s="19" t="s">
        <v>48</v>
      </c>
      <c r="J138" s="19" t="s">
        <v>29</v>
      </c>
      <c r="K138" s="18"/>
      <c r="L138" s="19" t="s">
        <v>431</v>
      </c>
      <c r="M138" s="19" t="s">
        <v>432</v>
      </c>
      <c r="N138" s="18"/>
      <c r="O138" s="19" t="s">
        <v>433</v>
      </c>
      <c r="P138" s="18"/>
    </row>
    <row r="139" spans="1:16" ht="26.25" x14ac:dyDescent="0.25">
      <c r="A139" s="19" t="s">
        <v>107</v>
      </c>
      <c r="B139" s="19" t="s">
        <v>422</v>
      </c>
      <c r="C139" s="19" t="s">
        <v>32</v>
      </c>
      <c r="D139" s="19" t="s">
        <v>26</v>
      </c>
      <c r="E139" s="21">
        <v>42370</v>
      </c>
      <c r="F139" s="18"/>
      <c r="G139" s="19" t="s">
        <v>34</v>
      </c>
      <c r="H139" s="19" t="s">
        <v>30</v>
      </c>
      <c r="I139" s="19" t="s">
        <v>48</v>
      </c>
      <c r="J139" s="19" t="s">
        <v>29</v>
      </c>
      <c r="K139" s="18"/>
      <c r="L139" s="19" t="s">
        <v>434</v>
      </c>
      <c r="M139" s="19" t="s">
        <v>435</v>
      </c>
      <c r="N139" s="19" t="s">
        <v>134</v>
      </c>
      <c r="O139" s="18"/>
      <c r="P139" s="18"/>
    </row>
    <row r="140" spans="1:16" ht="26.25" x14ac:dyDescent="0.25">
      <c r="A140" s="19" t="s">
        <v>107</v>
      </c>
      <c r="B140" s="19" t="s">
        <v>422</v>
      </c>
      <c r="C140" s="19" t="s">
        <v>32</v>
      </c>
      <c r="D140" s="19" t="s">
        <v>26</v>
      </c>
      <c r="E140" s="21">
        <v>42370</v>
      </c>
      <c r="F140" s="18"/>
      <c r="G140" s="19" t="s">
        <v>34</v>
      </c>
      <c r="H140" s="19" t="s">
        <v>30</v>
      </c>
      <c r="I140" s="19" t="s">
        <v>48</v>
      </c>
      <c r="J140" s="19" t="s">
        <v>29</v>
      </c>
      <c r="K140" s="18"/>
      <c r="L140" s="19" t="s">
        <v>436</v>
      </c>
      <c r="M140" s="19" t="s">
        <v>437</v>
      </c>
      <c r="N140" s="19" t="s">
        <v>134</v>
      </c>
      <c r="O140" s="18"/>
      <c r="P140" s="18"/>
    </row>
    <row r="141" spans="1:16" ht="26.25" x14ac:dyDescent="0.25">
      <c r="A141" s="19" t="s">
        <v>107</v>
      </c>
      <c r="B141" s="19" t="s">
        <v>422</v>
      </c>
      <c r="C141" s="19" t="s">
        <v>32</v>
      </c>
      <c r="D141" s="19" t="s">
        <v>26</v>
      </c>
      <c r="E141" s="21">
        <v>42370</v>
      </c>
      <c r="F141" s="18"/>
      <c r="G141" s="19" t="s">
        <v>34</v>
      </c>
      <c r="H141" s="19" t="s">
        <v>30</v>
      </c>
      <c r="I141" s="19" t="s">
        <v>48</v>
      </c>
      <c r="J141" s="19" t="s">
        <v>29</v>
      </c>
      <c r="K141" s="18"/>
      <c r="L141" s="19" t="s">
        <v>438</v>
      </c>
      <c r="M141" s="19" t="s">
        <v>439</v>
      </c>
      <c r="N141" s="19" t="s">
        <v>134</v>
      </c>
      <c r="O141" s="18"/>
      <c r="P141" s="18"/>
    </row>
    <row r="142" spans="1:16" ht="26.25" x14ac:dyDescent="0.25">
      <c r="A142" s="19" t="s">
        <v>107</v>
      </c>
      <c r="B142" s="19" t="s">
        <v>422</v>
      </c>
      <c r="C142" s="19" t="s">
        <v>32</v>
      </c>
      <c r="D142" s="19" t="s">
        <v>26</v>
      </c>
      <c r="E142" s="21">
        <v>42370</v>
      </c>
      <c r="F142" s="18"/>
      <c r="G142" s="19" t="s">
        <v>34</v>
      </c>
      <c r="H142" s="19" t="s">
        <v>30</v>
      </c>
      <c r="I142" s="19" t="s">
        <v>48</v>
      </c>
      <c r="J142" s="19" t="s">
        <v>29</v>
      </c>
      <c r="K142" s="18"/>
      <c r="L142" s="19" t="s">
        <v>440</v>
      </c>
      <c r="M142" s="19" t="s">
        <v>441</v>
      </c>
      <c r="N142" s="19" t="s">
        <v>134</v>
      </c>
      <c r="O142" s="18"/>
      <c r="P142" s="18"/>
    </row>
    <row r="143" spans="1:16" ht="26.25" x14ac:dyDescent="0.25">
      <c r="A143" s="19" t="s">
        <v>107</v>
      </c>
      <c r="B143" s="19" t="s">
        <v>422</v>
      </c>
      <c r="C143" s="19" t="s">
        <v>32</v>
      </c>
      <c r="D143" s="19" t="s">
        <v>26</v>
      </c>
      <c r="E143" s="21">
        <v>42370</v>
      </c>
      <c r="F143" s="18"/>
      <c r="G143" s="19" t="s">
        <v>34</v>
      </c>
      <c r="H143" s="19" t="s">
        <v>30</v>
      </c>
      <c r="I143" s="19" t="s">
        <v>48</v>
      </c>
      <c r="J143" s="19" t="s">
        <v>29</v>
      </c>
      <c r="K143" s="18"/>
      <c r="L143" s="19" t="s">
        <v>344</v>
      </c>
      <c r="M143" s="19" t="s">
        <v>442</v>
      </c>
      <c r="N143" s="19" t="s">
        <v>134</v>
      </c>
      <c r="O143" s="19" t="s">
        <v>443</v>
      </c>
      <c r="P143" s="18"/>
    </row>
    <row r="144" spans="1:16" ht="26.25" x14ac:dyDescent="0.25">
      <c r="A144" s="19" t="s">
        <v>107</v>
      </c>
      <c r="B144" s="19" t="s">
        <v>422</v>
      </c>
      <c r="C144" s="19" t="s">
        <v>32</v>
      </c>
      <c r="D144" s="19" t="s">
        <v>26</v>
      </c>
      <c r="E144" s="21">
        <v>42370</v>
      </c>
      <c r="F144" s="18"/>
      <c r="G144" s="19" t="s">
        <v>34</v>
      </c>
      <c r="H144" s="19" t="s">
        <v>30</v>
      </c>
      <c r="I144" s="19" t="s">
        <v>48</v>
      </c>
      <c r="J144" s="19" t="s">
        <v>29</v>
      </c>
      <c r="K144" s="18"/>
      <c r="L144" s="19" t="s">
        <v>293</v>
      </c>
      <c r="M144" s="19" t="s">
        <v>444</v>
      </c>
      <c r="N144" s="19" t="s">
        <v>134</v>
      </c>
      <c r="O144" s="18"/>
      <c r="P144" s="18"/>
    </row>
    <row r="145" spans="1:16" ht="26.25" x14ac:dyDescent="0.25">
      <c r="A145" s="19" t="s">
        <v>107</v>
      </c>
      <c r="B145" s="19" t="s">
        <v>422</v>
      </c>
      <c r="C145" s="19" t="s">
        <v>32</v>
      </c>
      <c r="D145" s="19" t="s">
        <v>26</v>
      </c>
      <c r="E145" s="21">
        <v>42370</v>
      </c>
      <c r="F145" s="18"/>
      <c r="G145" s="19" t="s">
        <v>34</v>
      </c>
      <c r="H145" s="19" t="s">
        <v>30</v>
      </c>
      <c r="I145" s="19" t="s">
        <v>48</v>
      </c>
      <c r="J145" s="19" t="s">
        <v>29</v>
      </c>
      <c r="K145" s="18"/>
      <c r="L145" s="19" t="s">
        <v>445</v>
      </c>
      <c r="M145" s="19" t="s">
        <v>446</v>
      </c>
      <c r="N145" s="19" t="s">
        <v>134</v>
      </c>
      <c r="O145" s="18"/>
      <c r="P145" s="18"/>
    </row>
    <row r="146" spans="1:16" ht="26.25" x14ac:dyDescent="0.25">
      <c r="A146" s="19" t="s">
        <v>107</v>
      </c>
      <c r="B146" s="19" t="s">
        <v>422</v>
      </c>
      <c r="C146" s="19" t="s">
        <v>32</v>
      </c>
      <c r="D146" s="19" t="s">
        <v>26</v>
      </c>
      <c r="E146" s="21">
        <v>42370</v>
      </c>
      <c r="F146" s="18"/>
      <c r="G146" s="19" t="s">
        <v>34</v>
      </c>
      <c r="H146" s="19" t="s">
        <v>30</v>
      </c>
      <c r="I146" s="19" t="s">
        <v>48</v>
      </c>
      <c r="J146" s="19" t="s">
        <v>29</v>
      </c>
      <c r="K146" s="18"/>
      <c r="L146" s="19" t="s">
        <v>447</v>
      </c>
      <c r="M146" s="19" t="s">
        <v>448</v>
      </c>
      <c r="N146" s="18"/>
      <c r="O146" s="19" t="s">
        <v>449</v>
      </c>
      <c r="P146" s="18"/>
    </row>
    <row r="147" spans="1:16" ht="26.25" x14ac:dyDescent="0.25">
      <c r="A147" s="19" t="s">
        <v>107</v>
      </c>
      <c r="B147" s="19" t="s">
        <v>422</v>
      </c>
      <c r="C147" s="19" t="s">
        <v>32</v>
      </c>
      <c r="D147" s="19" t="s">
        <v>26</v>
      </c>
      <c r="E147" s="21">
        <v>42370</v>
      </c>
      <c r="F147" s="18"/>
      <c r="G147" s="19" t="s">
        <v>34</v>
      </c>
      <c r="H147" s="19" t="s">
        <v>30</v>
      </c>
      <c r="I147" s="19" t="s">
        <v>48</v>
      </c>
      <c r="J147" s="19" t="s">
        <v>29</v>
      </c>
      <c r="K147" s="18"/>
      <c r="L147" s="19" t="s">
        <v>364</v>
      </c>
      <c r="M147" s="19" t="s">
        <v>367</v>
      </c>
      <c r="N147" s="19" t="s">
        <v>162</v>
      </c>
      <c r="O147" s="19" t="s">
        <v>450</v>
      </c>
      <c r="P147" s="18"/>
    </row>
    <row r="148" spans="1:16" ht="26.25" x14ac:dyDescent="0.25">
      <c r="A148" s="19" t="s">
        <v>107</v>
      </c>
      <c r="B148" s="19" t="s">
        <v>422</v>
      </c>
      <c r="C148" s="19" t="s">
        <v>32</v>
      </c>
      <c r="D148" s="19" t="s">
        <v>26</v>
      </c>
      <c r="E148" s="21">
        <v>42370</v>
      </c>
      <c r="F148" s="18"/>
      <c r="G148" s="19" t="s">
        <v>34</v>
      </c>
      <c r="H148" s="19" t="s">
        <v>30</v>
      </c>
      <c r="I148" s="19" t="s">
        <v>48</v>
      </c>
      <c r="J148" s="19" t="s">
        <v>29</v>
      </c>
      <c r="K148" s="18"/>
      <c r="L148" s="19" t="s">
        <v>392</v>
      </c>
      <c r="M148" s="19" t="s">
        <v>451</v>
      </c>
      <c r="N148" s="19" t="s">
        <v>452</v>
      </c>
      <c r="O148" s="19" t="s">
        <v>453</v>
      </c>
      <c r="P148" s="18"/>
    </row>
    <row r="149" spans="1:16" x14ac:dyDescent="0.25">
      <c r="A149" s="19" t="s">
        <v>104</v>
      </c>
      <c r="B149" s="19" t="s">
        <v>454</v>
      </c>
      <c r="C149" s="19" t="s">
        <v>32</v>
      </c>
      <c r="D149" s="19" t="s">
        <v>26</v>
      </c>
      <c r="E149" s="21">
        <v>42370</v>
      </c>
      <c r="F149" s="18"/>
      <c r="G149" s="19" t="s">
        <v>34</v>
      </c>
      <c r="H149" s="19" t="s">
        <v>30</v>
      </c>
      <c r="I149" s="19" t="s">
        <v>48</v>
      </c>
      <c r="J149" s="19" t="s">
        <v>29</v>
      </c>
      <c r="K149" s="18"/>
      <c r="L149" s="19" t="s">
        <v>382</v>
      </c>
      <c r="M149" s="19" t="s">
        <v>455</v>
      </c>
      <c r="N149" s="19" t="s">
        <v>134</v>
      </c>
      <c r="O149" s="19" t="s">
        <v>456</v>
      </c>
      <c r="P149" s="18"/>
    </row>
    <row r="150" spans="1:16" x14ac:dyDescent="0.25">
      <c r="A150" s="19" t="s">
        <v>104</v>
      </c>
      <c r="B150" s="19" t="s">
        <v>454</v>
      </c>
      <c r="C150" s="19" t="s">
        <v>32</v>
      </c>
      <c r="D150" s="19" t="s">
        <v>26</v>
      </c>
      <c r="E150" s="21">
        <v>42370</v>
      </c>
      <c r="F150" s="18"/>
      <c r="G150" s="19" t="s">
        <v>34</v>
      </c>
      <c r="H150" s="19" t="s">
        <v>30</v>
      </c>
      <c r="I150" s="19" t="s">
        <v>48</v>
      </c>
      <c r="J150" s="19" t="s">
        <v>29</v>
      </c>
      <c r="K150" s="18"/>
      <c r="L150" s="19" t="s">
        <v>457</v>
      </c>
      <c r="M150" s="19" t="s">
        <v>458</v>
      </c>
      <c r="N150" s="18"/>
      <c r="O150" s="19" t="s">
        <v>459</v>
      </c>
      <c r="P150" s="18"/>
    </row>
    <row r="151" spans="1:16" x14ac:dyDescent="0.25">
      <c r="A151" s="19" t="s">
        <v>104</v>
      </c>
      <c r="B151" s="19" t="s">
        <v>454</v>
      </c>
      <c r="C151" s="19" t="s">
        <v>32</v>
      </c>
      <c r="D151" s="19" t="s">
        <v>26</v>
      </c>
      <c r="E151" s="21">
        <v>42370</v>
      </c>
      <c r="F151" s="18"/>
      <c r="G151" s="19" t="s">
        <v>34</v>
      </c>
      <c r="H151" s="19" t="s">
        <v>30</v>
      </c>
      <c r="I151" s="19" t="s">
        <v>48</v>
      </c>
      <c r="J151" s="19" t="s">
        <v>29</v>
      </c>
      <c r="K151" s="18"/>
      <c r="L151" s="19" t="s">
        <v>431</v>
      </c>
      <c r="M151" s="19" t="s">
        <v>432</v>
      </c>
      <c r="N151" s="18"/>
      <c r="O151" s="19" t="s">
        <v>433</v>
      </c>
      <c r="P151" s="18"/>
    </row>
    <row r="152" spans="1:16" x14ac:dyDescent="0.25">
      <c r="A152" s="19" t="s">
        <v>104</v>
      </c>
      <c r="B152" s="19" t="s">
        <v>454</v>
      </c>
      <c r="C152" s="19" t="s">
        <v>32</v>
      </c>
      <c r="D152" s="19" t="s">
        <v>26</v>
      </c>
      <c r="E152" s="21">
        <v>42370</v>
      </c>
      <c r="F152" s="18"/>
      <c r="G152" s="19" t="s">
        <v>34</v>
      </c>
      <c r="H152" s="19" t="s">
        <v>30</v>
      </c>
      <c r="I152" s="19" t="s">
        <v>48</v>
      </c>
      <c r="J152" s="19" t="s">
        <v>29</v>
      </c>
      <c r="K152" s="18"/>
      <c r="L152" s="19" t="s">
        <v>460</v>
      </c>
      <c r="M152" s="19" t="s">
        <v>461</v>
      </c>
      <c r="N152" s="19" t="s">
        <v>134</v>
      </c>
      <c r="O152" s="18"/>
      <c r="P152" s="18"/>
    </row>
    <row r="153" spans="1:16" x14ac:dyDescent="0.25">
      <c r="A153" s="19" t="s">
        <v>104</v>
      </c>
      <c r="B153" s="19" t="s">
        <v>454</v>
      </c>
      <c r="C153" s="19" t="s">
        <v>32</v>
      </c>
      <c r="D153" s="19" t="s">
        <v>26</v>
      </c>
      <c r="E153" s="21">
        <v>42370</v>
      </c>
      <c r="F153" s="18"/>
      <c r="G153" s="19" t="s">
        <v>34</v>
      </c>
      <c r="H153" s="19" t="s">
        <v>30</v>
      </c>
      <c r="I153" s="19" t="s">
        <v>48</v>
      </c>
      <c r="J153" s="19" t="s">
        <v>29</v>
      </c>
      <c r="K153" s="18"/>
      <c r="L153" s="19" t="s">
        <v>462</v>
      </c>
      <c r="M153" s="19" t="s">
        <v>397</v>
      </c>
      <c r="N153" s="19" t="s">
        <v>134</v>
      </c>
      <c r="O153" s="19" t="s">
        <v>463</v>
      </c>
      <c r="P153" s="18"/>
    </row>
    <row r="154" spans="1:16" x14ac:dyDescent="0.25">
      <c r="A154" s="19" t="s">
        <v>104</v>
      </c>
      <c r="B154" s="19" t="s">
        <v>454</v>
      </c>
      <c r="C154" s="19" t="s">
        <v>32</v>
      </c>
      <c r="D154" s="19" t="s">
        <v>26</v>
      </c>
      <c r="E154" s="21">
        <v>42370</v>
      </c>
      <c r="F154" s="18"/>
      <c r="G154" s="19" t="s">
        <v>34</v>
      </c>
      <c r="H154" s="19" t="s">
        <v>30</v>
      </c>
      <c r="I154" s="19" t="s">
        <v>48</v>
      </c>
      <c r="J154" s="19" t="s">
        <v>29</v>
      </c>
      <c r="K154" s="18"/>
      <c r="L154" s="19" t="s">
        <v>464</v>
      </c>
      <c r="M154" s="19" t="s">
        <v>465</v>
      </c>
      <c r="N154" s="19" t="s">
        <v>134</v>
      </c>
      <c r="O154" s="18"/>
      <c r="P154" s="18"/>
    </row>
    <row r="155" spans="1:16" x14ac:dyDescent="0.25">
      <c r="A155" s="19" t="s">
        <v>104</v>
      </c>
      <c r="B155" s="19" t="s">
        <v>454</v>
      </c>
      <c r="C155" s="19" t="s">
        <v>32</v>
      </c>
      <c r="D155" s="19" t="s">
        <v>26</v>
      </c>
      <c r="E155" s="21">
        <v>42370</v>
      </c>
      <c r="F155" s="18"/>
      <c r="G155" s="19" t="s">
        <v>34</v>
      </c>
      <c r="H155" s="19" t="s">
        <v>30</v>
      </c>
      <c r="I155" s="19" t="s">
        <v>48</v>
      </c>
      <c r="J155" s="19" t="s">
        <v>29</v>
      </c>
      <c r="K155" s="18"/>
      <c r="L155" s="19" t="s">
        <v>466</v>
      </c>
      <c r="M155" s="19" t="s">
        <v>467</v>
      </c>
      <c r="N155" s="19" t="s">
        <v>134</v>
      </c>
      <c r="O155" s="18"/>
      <c r="P155" s="18"/>
    </row>
    <row r="156" spans="1:16" x14ac:dyDescent="0.25">
      <c r="A156" s="19" t="s">
        <v>104</v>
      </c>
      <c r="B156" s="19" t="s">
        <v>454</v>
      </c>
      <c r="C156" s="19" t="s">
        <v>32</v>
      </c>
      <c r="D156" s="19" t="s">
        <v>26</v>
      </c>
      <c r="E156" s="21">
        <v>42370</v>
      </c>
      <c r="F156" s="18"/>
      <c r="G156" s="19" t="s">
        <v>34</v>
      </c>
      <c r="H156" s="19" t="s">
        <v>30</v>
      </c>
      <c r="I156" s="19" t="s">
        <v>48</v>
      </c>
      <c r="J156" s="19" t="s">
        <v>29</v>
      </c>
      <c r="K156" s="18"/>
      <c r="L156" s="19" t="s">
        <v>249</v>
      </c>
      <c r="M156" s="19" t="s">
        <v>468</v>
      </c>
      <c r="N156" s="19" t="s">
        <v>134</v>
      </c>
      <c r="O156" s="18"/>
      <c r="P156" s="18"/>
    </row>
    <row r="157" spans="1:16" x14ac:dyDescent="0.25">
      <c r="A157" s="19" t="s">
        <v>104</v>
      </c>
      <c r="B157" s="19" t="s">
        <v>454</v>
      </c>
      <c r="C157" s="19" t="s">
        <v>32</v>
      </c>
      <c r="D157" s="19" t="s">
        <v>26</v>
      </c>
      <c r="E157" s="21">
        <v>42370</v>
      </c>
      <c r="F157" s="18"/>
      <c r="G157" s="19" t="s">
        <v>34</v>
      </c>
      <c r="H157" s="19" t="s">
        <v>30</v>
      </c>
      <c r="I157" s="19" t="s">
        <v>48</v>
      </c>
      <c r="J157" s="19" t="s">
        <v>29</v>
      </c>
      <c r="K157" s="18"/>
      <c r="L157" s="19" t="s">
        <v>469</v>
      </c>
      <c r="M157" s="19" t="s">
        <v>470</v>
      </c>
      <c r="N157" s="19" t="s">
        <v>134</v>
      </c>
      <c r="O157" s="18"/>
      <c r="P157" s="18"/>
    </row>
    <row r="158" spans="1:16" x14ac:dyDescent="0.25">
      <c r="A158" s="19" t="s">
        <v>104</v>
      </c>
      <c r="B158" s="19" t="s">
        <v>454</v>
      </c>
      <c r="C158" s="19" t="s">
        <v>32</v>
      </c>
      <c r="D158" s="19" t="s">
        <v>26</v>
      </c>
      <c r="E158" s="21">
        <v>42370</v>
      </c>
      <c r="F158" s="18"/>
      <c r="G158" s="19" t="s">
        <v>34</v>
      </c>
      <c r="H158" s="19" t="s">
        <v>30</v>
      </c>
      <c r="I158" s="19" t="s">
        <v>48</v>
      </c>
      <c r="J158" s="19" t="s">
        <v>29</v>
      </c>
      <c r="K158" s="18"/>
      <c r="L158" s="19" t="s">
        <v>471</v>
      </c>
      <c r="M158" s="19" t="s">
        <v>472</v>
      </c>
      <c r="N158" s="19" t="s">
        <v>134</v>
      </c>
      <c r="O158" s="18"/>
      <c r="P158" s="18"/>
    </row>
    <row r="159" spans="1:16" x14ac:dyDescent="0.25">
      <c r="A159" s="19" t="s">
        <v>104</v>
      </c>
      <c r="B159" s="19" t="s">
        <v>454</v>
      </c>
      <c r="C159" s="19" t="s">
        <v>32</v>
      </c>
      <c r="D159" s="19" t="s">
        <v>26</v>
      </c>
      <c r="E159" s="21">
        <v>42370</v>
      </c>
      <c r="F159" s="18"/>
      <c r="G159" s="19" t="s">
        <v>34</v>
      </c>
      <c r="H159" s="19" t="s">
        <v>30</v>
      </c>
      <c r="I159" s="19" t="s">
        <v>48</v>
      </c>
      <c r="J159" s="19" t="s">
        <v>29</v>
      </c>
      <c r="K159" s="18"/>
      <c r="L159" s="19" t="s">
        <v>473</v>
      </c>
      <c r="M159" s="19" t="s">
        <v>474</v>
      </c>
      <c r="N159" s="19" t="s">
        <v>134</v>
      </c>
      <c r="O159" s="18"/>
      <c r="P159" s="18"/>
    </row>
    <row r="160" spans="1:16" x14ac:dyDescent="0.25">
      <c r="A160" s="19" t="s">
        <v>104</v>
      </c>
      <c r="B160" s="19" t="s">
        <v>454</v>
      </c>
      <c r="C160" s="19" t="s">
        <v>32</v>
      </c>
      <c r="D160" s="19" t="s">
        <v>26</v>
      </c>
      <c r="E160" s="21">
        <v>42370</v>
      </c>
      <c r="F160" s="18"/>
      <c r="G160" s="19" t="s">
        <v>34</v>
      </c>
      <c r="H160" s="19" t="s">
        <v>30</v>
      </c>
      <c r="I160" s="19" t="s">
        <v>48</v>
      </c>
      <c r="J160" s="19" t="s">
        <v>29</v>
      </c>
      <c r="K160" s="18"/>
      <c r="L160" s="19" t="s">
        <v>475</v>
      </c>
      <c r="M160" s="19" t="s">
        <v>476</v>
      </c>
      <c r="N160" s="19" t="s">
        <v>134</v>
      </c>
      <c r="O160" s="18"/>
      <c r="P160" s="18"/>
    </row>
    <row r="161" spans="1:16" x14ac:dyDescent="0.25">
      <c r="A161" s="19" t="s">
        <v>104</v>
      </c>
      <c r="B161" s="19" t="s">
        <v>454</v>
      </c>
      <c r="C161" s="19" t="s">
        <v>32</v>
      </c>
      <c r="D161" s="19" t="s">
        <v>26</v>
      </c>
      <c r="E161" s="21">
        <v>42370</v>
      </c>
      <c r="F161" s="18"/>
      <c r="G161" s="19" t="s">
        <v>34</v>
      </c>
      <c r="H161" s="19" t="s">
        <v>30</v>
      </c>
      <c r="I161" s="19" t="s">
        <v>48</v>
      </c>
      <c r="J161" s="19" t="s">
        <v>29</v>
      </c>
      <c r="K161" s="18"/>
      <c r="L161" s="19" t="s">
        <v>477</v>
      </c>
      <c r="M161" s="19" t="s">
        <v>478</v>
      </c>
      <c r="N161" s="19" t="s">
        <v>134</v>
      </c>
      <c r="O161" s="18"/>
      <c r="P161" s="18"/>
    </row>
    <row r="162" spans="1:16" x14ac:dyDescent="0.25">
      <c r="A162" s="19" t="s">
        <v>104</v>
      </c>
      <c r="B162" s="19" t="s">
        <v>454</v>
      </c>
      <c r="C162" s="19" t="s">
        <v>32</v>
      </c>
      <c r="D162" s="19" t="s">
        <v>26</v>
      </c>
      <c r="E162" s="21">
        <v>42370</v>
      </c>
      <c r="F162" s="18"/>
      <c r="G162" s="19" t="s">
        <v>34</v>
      </c>
      <c r="H162" s="19" t="s">
        <v>30</v>
      </c>
      <c r="I162" s="19" t="s">
        <v>48</v>
      </c>
      <c r="J162" s="19" t="s">
        <v>29</v>
      </c>
      <c r="K162" s="18"/>
      <c r="L162" s="19" t="s">
        <v>479</v>
      </c>
      <c r="M162" s="19" t="s">
        <v>480</v>
      </c>
      <c r="N162" s="19" t="s">
        <v>134</v>
      </c>
      <c r="O162" s="18"/>
      <c r="P162" s="18"/>
    </row>
    <row r="163" spans="1:16" x14ac:dyDescent="0.25">
      <c r="A163" s="19" t="s">
        <v>104</v>
      </c>
      <c r="B163" s="19" t="s">
        <v>454</v>
      </c>
      <c r="C163" s="19" t="s">
        <v>32</v>
      </c>
      <c r="D163" s="19" t="s">
        <v>26</v>
      </c>
      <c r="E163" s="21">
        <v>42370</v>
      </c>
      <c r="F163" s="18"/>
      <c r="G163" s="19" t="s">
        <v>34</v>
      </c>
      <c r="H163" s="19" t="s">
        <v>30</v>
      </c>
      <c r="I163" s="19" t="s">
        <v>48</v>
      </c>
      <c r="J163" s="19" t="s">
        <v>29</v>
      </c>
      <c r="K163" s="18"/>
      <c r="L163" s="19" t="s">
        <v>481</v>
      </c>
      <c r="M163" s="19" t="s">
        <v>482</v>
      </c>
      <c r="N163" s="19" t="s">
        <v>134</v>
      </c>
      <c r="O163" s="18"/>
      <c r="P163" s="18"/>
    </row>
    <row r="164" spans="1:16" x14ac:dyDescent="0.25">
      <c r="A164" s="19" t="s">
        <v>104</v>
      </c>
      <c r="B164" s="19" t="s">
        <v>454</v>
      </c>
      <c r="C164" s="19" t="s">
        <v>32</v>
      </c>
      <c r="D164" s="19" t="s">
        <v>26</v>
      </c>
      <c r="E164" s="21">
        <v>42370</v>
      </c>
      <c r="F164" s="18"/>
      <c r="G164" s="19" t="s">
        <v>34</v>
      </c>
      <c r="H164" s="19" t="s">
        <v>30</v>
      </c>
      <c r="I164" s="19" t="s">
        <v>48</v>
      </c>
      <c r="J164" s="19" t="s">
        <v>29</v>
      </c>
      <c r="K164" s="18"/>
      <c r="L164" s="19" t="s">
        <v>483</v>
      </c>
      <c r="M164" s="19" t="s">
        <v>484</v>
      </c>
      <c r="N164" s="19" t="s">
        <v>134</v>
      </c>
      <c r="O164" s="18"/>
      <c r="P164" s="18"/>
    </row>
    <row r="165" spans="1:16" x14ac:dyDescent="0.25">
      <c r="A165" s="19" t="s">
        <v>104</v>
      </c>
      <c r="B165" s="19" t="s">
        <v>454</v>
      </c>
      <c r="C165" s="19" t="s">
        <v>32</v>
      </c>
      <c r="D165" s="19" t="s">
        <v>26</v>
      </c>
      <c r="E165" s="21">
        <v>42370</v>
      </c>
      <c r="F165" s="18"/>
      <c r="G165" s="19" t="s">
        <v>34</v>
      </c>
      <c r="H165" s="19" t="s">
        <v>30</v>
      </c>
      <c r="I165" s="19" t="s">
        <v>48</v>
      </c>
      <c r="J165" s="19" t="s">
        <v>29</v>
      </c>
      <c r="K165" s="18"/>
      <c r="L165" s="19" t="s">
        <v>278</v>
      </c>
      <c r="M165" s="19" t="s">
        <v>485</v>
      </c>
      <c r="N165" s="19" t="s">
        <v>134</v>
      </c>
      <c r="O165" s="18"/>
      <c r="P165" s="18"/>
    </row>
    <row r="166" spans="1:16" x14ac:dyDescent="0.25">
      <c r="A166" s="19" t="s">
        <v>104</v>
      </c>
      <c r="B166" s="19" t="s">
        <v>454</v>
      </c>
      <c r="C166" s="19" t="s">
        <v>32</v>
      </c>
      <c r="D166" s="19" t="s">
        <v>26</v>
      </c>
      <c r="E166" s="21">
        <v>42370</v>
      </c>
      <c r="F166" s="18"/>
      <c r="G166" s="19" t="s">
        <v>34</v>
      </c>
      <c r="H166" s="19" t="s">
        <v>30</v>
      </c>
      <c r="I166" s="19" t="s">
        <v>48</v>
      </c>
      <c r="J166" s="19" t="s">
        <v>29</v>
      </c>
      <c r="K166" s="18"/>
      <c r="L166" s="19" t="s">
        <v>190</v>
      </c>
      <c r="M166" s="19" t="s">
        <v>486</v>
      </c>
      <c r="N166" s="19" t="s">
        <v>134</v>
      </c>
      <c r="O166" s="18"/>
      <c r="P166" s="18"/>
    </row>
    <row r="167" spans="1:16" x14ac:dyDescent="0.25">
      <c r="A167" s="19" t="s">
        <v>104</v>
      </c>
      <c r="B167" s="19" t="s">
        <v>454</v>
      </c>
      <c r="C167" s="19" t="s">
        <v>32</v>
      </c>
      <c r="D167" s="19" t="s">
        <v>26</v>
      </c>
      <c r="E167" s="21">
        <v>42370</v>
      </c>
      <c r="F167" s="18"/>
      <c r="G167" s="19" t="s">
        <v>34</v>
      </c>
      <c r="H167" s="19" t="s">
        <v>30</v>
      </c>
      <c r="I167" s="19" t="s">
        <v>48</v>
      </c>
      <c r="J167" s="19" t="s">
        <v>29</v>
      </c>
      <c r="K167" s="18"/>
      <c r="L167" s="19" t="s">
        <v>487</v>
      </c>
      <c r="M167" s="19" t="s">
        <v>488</v>
      </c>
      <c r="N167" s="18"/>
      <c r="O167" s="19" t="s">
        <v>489</v>
      </c>
      <c r="P167" s="18"/>
    </row>
    <row r="168" spans="1:16" x14ac:dyDescent="0.25">
      <c r="A168" s="19" t="s">
        <v>104</v>
      </c>
      <c r="B168" s="19" t="s">
        <v>454</v>
      </c>
      <c r="C168" s="19" t="s">
        <v>32</v>
      </c>
      <c r="D168" s="19" t="s">
        <v>26</v>
      </c>
      <c r="E168" s="21">
        <v>42370</v>
      </c>
      <c r="F168" s="18"/>
      <c r="G168" s="19" t="s">
        <v>34</v>
      </c>
      <c r="H168" s="19" t="s">
        <v>30</v>
      </c>
      <c r="I168" s="19" t="s">
        <v>48</v>
      </c>
      <c r="J168" s="19" t="s">
        <v>29</v>
      </c>
      <c r="K168" s="18"/>
      <c r="L168" s="19" t="s">
        <v>241</v>
      </c>
      <c r="M168" s="19" t="s">
        <v>490</v>
      </c>
      <c r="N168" s="18"/>
      <c r="O168" s="19" t="s">
        <v>491</v>
      </c>
      <c r="P168" s="18"/>
    </row>
    <row r="169" spans="1:16" x14ac:dyDescent="0.25">
      <c r="A169" s="19" t="s">
        <v>104</v>
      </c>
      <c r="B169" s="19" t="s">
        <v>454</v>
      </c>
      <c r="C169" s="19" t="s">
        <v>32</v>
      </c>
      <c r="D169" s="19" t="s">
        <v>26</v>
      </c>
      <c r="E169" s="21">
        <v>42370</v>
      </c>
      <c r="F169" s="18"/>
      <c r="G169" s="19" t="s">
        <v>34</v>
      </c>
      <c r="H169" s="19" t="s">
        <v>30</v>
      </c>
      <c r="I169" s="19" t="s">
        <v>48</v>
      </c>
      <c r="J169" s="19" t="s">
        <v>29</v>
      </c>
      <c r="K169" s="18"/>
      <c r="L169" s="19" t="s">
        <v>492</v>
      </c>
      <c r="M169" s="19" t="s">
        <v>493</v>
      </c>
      <c r="N169" s="18"/>
      <c r="O169" s="19" t="s">
        <v>494</v>
      </c>
      <c r="P169" s="18"/>
    </row>
    <row r="170" spans="1:16" x14ac:dyDescent="0.25">
      <c r="A170" s="19" t="s">
        <v>104</v>
      </c>
      <c r="B170" s="19" t="s">
        <v>454</v>
      </c>
      <c r="C170" s="19" t="s">
        <v>32</v>
      </c>
      <c r="D170" s="19" t="s">
        <v>26</v>
      </c>
      <c r="E170" s="21">
        <v>42370</v>
      </c>
      <c r="F170" s="18"/>
      <c r="G170" s="19" t="s">
        <v>34</v>
      </c>
      <c r="H170" s="19" t="s">
        <v>30</v>
      </c>
      <c r="I170" s="19" t="s">
        <v>48</v>
      </c>
      <c r="J170" s="19" t="s">
        <v>29</v>
      </c>
      <c r="K170" s="18"/>
      <c r="L170" s="19" t="s">
        <v>426</v>
      </c>
      <c r="M170" s="19" t="s">
        <v>427</v>
      </c>
      <c r="N170" s="18"/>
      <c r="O170" s="18"/>
      <c r="P170" s="18"/>
    </row>
    <row r="171" spans="1:16" x14ac:dyDescent="0.25">
      <c r="A171" s="19" t="s">
        <v>104</v>
      </c>
      <c r="B171" s="19" t="s">
        <v>454</v>
      </c>
      <c r="C171" s="19" t="s">
        <v>32</v>
      </c>
      <c r="D171" s="19" t="s">
        <v>26</v>
      </c>
      <c r="E171" s="21">
        <v>42370</v>
      </c>
      <c r="F171" s="18"/>
      <c r="G171" s="19" t="s">
        <v>34</v>
      </c>
      <c r="H171" s="19" t="s">
        <v>30</v>
      </c>
      <c r="I171" s="19" t="s">
        <v>48</v>
      </c>
      <c r="J171" s="19" t="s">
        <v>29</v>
      </c>
      <c r="K171" s="18"/>
      <c r="L171" s="19" t="s">
        <v>305</v>
      </c>
      <c r="M171" s="19" t="s">
        <v>306</v>
      </c>
      <c r="N171" s="19" t="s">
        <v>134</v>
      </c>
      <c r="O171" s="18"/>
      <c r="P171" s="18"/>
    </row>
    <row r="172" spans="1:16" x14ac:dyDescent="0.25">
      <c r="A172" s="19" t="s">
        <v>104</v>
      </c>
      <c r="B172" s="19" t="s">
        <v>454</v>
      </c>
      <c r="C172" s="19" t="s">
        <v>32</v>
      </c>
      <c r="D172" s="19" t="s">
        <v>26</v>
      </c>
      <c r="E172" s="21">
        <v>42370</v>
      </c>
      <c r="F172" s="18"/>
      <c r="G172" s="19" t="s">
        <v>34</v>
      </c>
      <c r="H172" s="19" t="s">
        <v>30</v>
      </c>
      <c r="I172" s="19" t="s">
        <v>48</v>
      </c>
      <c r="J172" s="19" t="s">
        <v>29</v>
      </c>
      <c r="K172" s="18"/>
      <c r="L172" s="19" t="s">
        <v>477</v>
      </c>
      <c r="M172" s="19" t="s">
        <v>495</v>
      </c>
      <c r="N172" s="19" t="s">
        <v>134</v>
      </c>
      <c r="O172" s="18"/>
      <c r="P172" s="18"/>
    </row>
    <row r="173" spans="1:16" x14ac:dyDescent="0.25">
      <c r="A173" s="19" t="s">
        <v>104</v>
      </c>
      <c r="B173" s="19" t="s">
        <v>454</v>
      </c>
      <c r="C173" s="19" t="s">
        <v>32</v>
      </c>
      <c r="D173" s="19" t="s">
        <v>26</v>
      </c>
      <c r="E173" s="21">
        <v>42370</v>
      </c>
      <c r="F173" s="18"/>
      <c r="G173" s="19" t="s">
        <v>34</v>
      </c>
      <c r="H173" s="19" t="s">
        <v>30</v>
      </c>
      <c r="I173" s="19" t="s">
        <v>48</v>
      </c>
      <c r="J173" s="19" t="s">
        <v>29</v>
      </c>
      <c r="K173" s="18"/>
      <c r="L173" s="19" t="s">
        <v>496</v>
      </c>
      <c r="M173" s="19" t="s">
        <v>429</v>
      </c>
      <c r="N173" s="19" t="s">
        <v>497</v>
      </c>
      <c r="O173" s="19" t="s">
        <v>498</v>
      </c>
      <c r="P173" s="18"/>
    </row>
    <row r="174" spans="1:16" x14ac:dyDescent="0.25">
      <c r="A174" s="19" t="s">
        <v>104</v>
      </c>
      <c r="B174" s="19" t="s">
        <v>454</v>
      </c>
      <c r="C174" s="19" t="s">
        <v>32</v>
      </c>
      <c r="D174" s="19" t="s">
        <v>26</v>
      </c>
      <c r="E174" s="21">
        <v>42370</v>
      </c>
      <c r="F174" s="18"/>
      <c r="G174" s="19" t="s">
        <v>34</v>
      </c>
      <c r="H174" s="19" t="s">
        <v>30</v>
      </c>
      <c r="I174" s="19" t="s">
        <v>48</v>
      </c>
      <c r="J174" s="19" t="s">
        <v>29</v>
      </c>
      <c r="K174" s="18"/>
      <c r="L174" s="19" t="s">
        <v>392</v>
      </c>
      <c r="M174" s="19" t="s">
        <v>451</v>
      </c>
      <c r="N174" s="19" t="s">
        <v>452</v>
      </c>
      <c r="O174" s="19" t="s">
        <v>453</v>
      </c>
      <c r="P174" s="18"/>
    </row>
    <row r="175" spans="1:16" x14ac:dyDescent="0.25">
      <c r="A175" s="19" t="s">
        <v>104</v>
      </c>
      <c r="B175" s="19" t="s">
        <v>454</v>
      </c>
      <c r="C175" s="19" t="s">
        <v>32</v>
      </c>
      <c r="D175" s="19" t="s">
        <v>26</v>
      </c>
      <c r="E175" s="21">
        <v>42370</v>
      </c>
      <c r="F175" s="18"/>
      <c r="G175" s="19" t="s">
        <v>34</v>
      </c>
      <c r="H175" s="19" t="s">
        <v>30</v>
      </c>
      <c r="I175" s="19" t="s">
        <v>48</v>
      </c>
      <c r="J175" s="19" t="s">
        <v>29</v>
      </c>
      <c r="K175" s="18"/>
      <c r="L175" s="19" t="s">
        <v>344</v>
      </c>
      <c r="M175" s="19" t="s">
        <v>499</v>
      </c>
      <c r="N175" s="19" t="s">
        <v>247</v>
      </c>
      <c r="O175" s="19" t="s">
        <v>500</v>
      </c>
      <c r="P175" s="18"/>
    </row>
    <row r="176" spans="1:16" x14ac:dyDescent="0.25">
      <c r="A176" s="19" t="s">
        <v>116</v>
      </c>
      <c r="B176" s="19" t="s">
        <v>501</v>
      </c>
      <c r="C176" s="19" t="s">
        <v>502</v>
      </c>
      <c r="D176" s="19" t="s">
        <v>26</v>
      </c>
      <c r="E176" s="21">
        <v>42917</v>
      </c>
      <c r="F176" s="18"/>
      <c r="G176" s="19" t="s">
        <v>34</v>
      </c>
      <c r="H176" s="19" t="s">
        <v>30</v>
      </c>
      <c r="I176" s="19" t="s">
        <v>19</v>
      </c>
      <c r="J176" s="19" t="s">
        <v>20</v>
      </c>
      <c r="K176" s="18"/>
      <c r="L176" s="19" t="s">
        <v>481</v>
      </c>
      <c r="M176" s="19" t="s">
        <v>503</v>
      </c>
      <c r="N176" s="19" t="s">
        <v>169</v>
      </c>
      <c r="O176" s="19" t="s">
        <v>504</v>
      </c>
      <c r="P176" s="18"/>
    </row>
    <row r="177" spans="1:16" x14ac:dyDescent="0.25">
      <c r="A177" s="19" t="s">
        <v>116</v>
      </c>
      <c r="B177" s="19" t="s">
        <v>501</v>
      </c>
      <c r="C177" s="19" t="s">
        <v>502</v>
      </c>
      <c r="D177" s="19" t="s">
        <v>26</v>
      </c>
      <c r="E177" s="21">
        <v>42917</v>
      </c>
      <c r="F177" s="18"/>
      <c r="G177" s="19" t="s">
        <v>34</v>
      </c>
      <c r="H177" s="19" t="s">
        <v>30</v>
      </c>
      <c r="I177" s="19" t="s">
        <v>19</v>
      </c>
      <c r="J177" s="19" t="s">
        <v>20</v>
      </c>
      <c r="K177" s="18"/>
      <c r="L177" s="19" t="s">
        <v>157</v>
      </c>
      <c r="M177" s="19" t="s">
        <v>505</v>
      </c>
      <c r="N177" s="19" t="s">
        <v>195</v>
      </c>
      <c r="O177" s="19" t="s">
        <v>506</v>
      </c>
      <c r="P177" s="18"/>
    </row>
    <row r="178" spans="1:16" x14ac:dyDescent="0.25">
      <c r="A178" s="19" t="s">
        <v>116</v>
      </c>
      <c r="B178" s="19" t="s">
        <v>501</v>
      </c>
      <c r="C178" s="19" t="s">
        <v>502</v>
      </c>
      <c r="D178" s="19" t="s">
        <v>26</v>
      </c>
      <c r="E178" s="21">
        <v>42917</v>
      </c>
      <c r="F178" s="18"/>
      <c r="G178" s="19" t="s">
        <v>34</v>
      </c>
      <c r="H178" s="19" t="s">
        <v>30</v>
      </c>
      <c r="I178" s="19" t="s">
        <v>19</v>
      </c>
      <c r="J178" s="19" t="s">
        <v>20</v>
      </c>
      <c r="K178" s="18"/>
      <c r="L178" s="19" t="s">
        <v>164</v>
      </c>
      <c r="M178" s="19" t="s">
        <v>507</v>
      </c>
      <c r="N178" s="19" t="s">
        <v>185</v>
      </c>
      <c r="O178" s="18"/>
      <c r="P178" s="18"/>
    </row>
    <row r="179" spans="1:16" x14ac:dyDescent="0.25">
      <c r="A179" s="19" t="s">
        <v>116</v>
      </c>
      <c r="B179" s="19" t="s">
        <v>501</v>
      </c>
      <c r="C179" s="19" t="s">
        <v>502</v>
      </c>
      <c r="D179" s="19" t="s">
        <v>26</v>
      </c>
      <c r="E179" s="21">
        <v>42917</v>
      </c>
      <c r="F179" s="18"/>
      <c r="G179" s="19" t="s">
        <v>34</v>
      </c>
      <c r="H179" s="19" t="s">
        <v>30</v>
      </c>
      <c r="I179" s="19" t="s">
        <v>19</v>
      </c>
      <c r="J179" s="19" t="s">
        <v>20</v>
      </c>
      <c r="K179" s="18"/>
      <c r="L179" s="19" t="s">
        <v>508</v>
      </c>
      <c r="M179" s="19" t="s">
        <v>509</v>
      </c>
      <c r="N179" s="19" t="s">
        <v>213</v>
      </c>
      <c r="O179" s="18"/>
      <c r="P179" s="18"/>
    </row>
    <row r="180" spans="1:16" x14ac:dyDescent="0.25">
      <c r="A180" s="19" t="s">
        <v>116</v>
      </c>
      <c r="B180" s="19" t="s">
        <v>501</v>
      </c>
      <c r="C180" s="19" t="s">
        <v>502</v>
      </c>
      <c r="D180" s="19" t="s">
        <v>26</v>
      </c>
      <c r="E180" s="21">
        <v>42917</v>
      </c>
      <c r="F180" s="18"/>
      <c r="G180" s="19" t="s">
        <v>34</v>
      </c>
      <c r="H180" s="19" t="s">
        <v>30</v>
      </c>
      <c r="I180" s="19" t="s">
        <v>19</v>
      </c>
      <c r="J180" s="19" t="s">
        <v>20</v>
      </c>
      <c r="K180" s="18"/>
      <c r="L180" s="19" t="s">
        <v>259</v>
      </c>
      <c r="M180" s="19" t="s">
        <v>510</v>
      </c>
      <c r="N180" s="18"/>
      <c r="O180" s="18"/>
      <c r="P180" s="18"/>
    </row>
    <row r="181" spans="1:16" x14ac:dyDescent="0.25">
      <c r="A181" s="19" t="s">
        <v>114</v>
      </c>
      <c r="B181" s="19" t="s">
        <v>511</v>
      </c>
      <c r="C181" s="19" t="s">
        <v>512</v>
      </c>
      <c r="D181" s="19" t="s">
        <v>26</v>
      </c>
      <c r="E181" s="21">
        <v>42917</v>
      </c>
      <c r="F181" s="18"/>
      <c r="G181" s="19" t="s">
        <v>28</v>
      </c>
      <c r="H181" s="19" t="s">
        <v>30</v>
      </c>
      <c r="I181" s="19" t="s">
        <v>19</v>
      </c>
      <c r="J181" s="19" t="s">
        <v>20</v>
      </c>
      <c r="K181" s="18"/>
      <c r="L181" s="19" t="s">
        <v>513</v>
      </c>
      <c r="M181" s="19" t="s">
        <v>514</v>
      </c>
      <c r="N181" s="19" t="s">
        <v>169</v>
      </c>
      <c r="O181" s="19" t="s">
        <v>515</v>
      </c>
      <c r="P181" s="18"/>
    </row>
    <row r="182" spans="1:16" x14ac:dyDescent="0.25">
      <c r="A182" s="19" t="s">
        <v>114</v>
      </c>
      <c r="B182" s="19" t="s">
        <v>511</v>
      </c>
      <c r="C182" s="19" t="s">
        <v>512</v>
      </c>
      <c r="D182" s="19" t="s">
        <v>26</v>
      </c>
      <c r="E182" s="21">
        <v>42917</v>
      </c>
      <c r="F182" s="18"/>
      <c r="G182" s="19" t="s">
        <v>28</v>
      </c>
      <c r="H182" s="19" t="s">
        <v>30</v>
      </c>
      <c r="I182" s="19" t="s">
        <v>19</v>
      </c>
      <c r="J182" s="19" t="s">
        <v>20</v>
      </c>
      <c r="K182" s="18"/>
      <c r="L182" s="19" t="s">
        <v>350</v>
      </c>
      <c r="M182" s="19" t="s">
        <v>516</v>
      </c>
      <c r="N182" s="19" t="s">
        <v>195</v>
      </c>
      <c r="O182" s="19" t="s">
        <v>517</v>
      </c>
      <c r="P182" s="18"/>
    </row>
    <row r="183" spans="1:16" x14ac:dyDescent="0.25">
      <c r="A183" s="19" t="s">
        <v>114</v>
      </c>
      <c r="B183" s="19" t="s">
        <v>511</v>
      </c>
      <c r="C183" s="19" t="s">
        <v>512</v>
      </c>
      <c r="D183" s="19" t="s">
        <v>26</v>
      </c>
      <c r="E183" s="21">
        <v>42917</v>
      </c>
      <c r="F183" s="18"/>
      <c r="G183" s="19" t="s">
        <v>28</v>
      </c>
      <c r="H183" s="19" t="s">
        <v>30</v>
      </c>
      <c r="I183" s="19" t="s">
        <v>19</v>
      </c>
      <c r="J183" s="19" t="s">
        <v>20</v>
      </c>
      <c r="K183" s="18"/>
      <c r="L183" s="19" t="s">
        <v>164</v>
      </c>
      <c r="M183" s="19" t="s">
        <v>518</v>
      </c>
      <c r="N183" s="19" t="s">
        <v>185</v>
      </c>
      <c r="O183" s="18"/>
      <c r="P183" s="18"/>
    </row>
    <row r="184" spans="1:16" x14ac:dyDescent="0.25">
      <c r="A184" s="19" t="s">
        <v>114</v>
      </c>
      <c r="B184" s="19" t="s">
        <v>511</v>
      </c>
      <c r="C184" s="19" t="s">
        <v>512</v>
      </c>
      <c r="D184" s="19" t="s">
        <v>26</v>
      </c>
      <c r="E184" s="21">
        <v>42917</v>
      </c>
      <c r="F184" s="18"/>
      <c r="G184" s="19" t="s">
        <v>28</v>
      </c>
      <c r="H184" s="19" t="s">
        <v>30</v>
      </c>
      <c r="I184" s="19" t="s">
        <v>19</v>
      </c>
      <c r="J184" s="19" t="s">
        <v>20</v>
      </c>
      <c r="K184" s="18"/>
      <c r="L184" s="19" t="s">
        <v>445</v>
      </c>
      <c r="M184" s="19" t="s">
        <v>519</v>
      </c>
      <c r="N184" s="19" t="s">
        <v>185</v>
      </c>
      <c r="O184" s="18"/>
      <c r="P184" s="18"/>
    </row>
    <row r="185" spans="1:16" x14ac:dyDescent="0.25">
      <c r="A185" s="19" t="s">
        <v>114</v>
      </c>
      <c r="B185" s="19" t="s">
        <v>511</v>
      </c>
      <c r="C185" s="19" t="s">
        <v>512</v>
      </c>
      <c r="D185" s="19" t="s">
        <v>26</v>
      </c>
      <c r="E185" s="21">
        <v>42917</v>
      </c>
      <c r="F185" s="18"/>
      <c r="G185" s="19" t="s">
        <v>28</v>
      </c>
      <c r="H185" s="19" t="s">
        <v>30</v>
      </c>
      <c r="I185" s="19" t="s">
        <v>19</v>
      </c>
      <c r="J185" s="19" t="s">
        <v>20</v>
      </c>
      <c r="K185" s="18"/>
      <c r="L185" s="19" t="s">
        <v>315</v>
      </c>
      <c r="M185" s="19" t="s">
        <v>520</v>
      </c>
      <c r="N185" s="19" t="s">
        <v>213</v>
      </c>
      <c r="O185" s="18"/>
      <c r="P185" s="18"/>
    </row>
    <row r="186" spans="1:16" x14ac:dyDescent="0.25">
      <c r="A186" s="19" t="s">
        <v>114</v>
      </c>
      <c r="B186" s="19" t="s">
        <v>511</v>
      </c>
      <c r="C186" s="19" t="s">
        <v>512</v>
      </c>
      <c r="D186" s="19" t="s">
        <v>26</v>
      </c>
      <c r="E186" s="21">
        <v>42917</v>
      </c>
      <c r="F186" s="18"/>
      <c r="G186" s="19" t="s">
        <v>28</v>
      </c>
      <c r="H186" s="19" t="s">
        <v>30</v>
      </c>
      <c r="I186" s="19" t="s">
        <v>19</v>
      </c>
      <c r="J186" s="19" t="s">
        <v>20</v>
      </c>
      <c r="K186" s="18"/>
      <c r="L186" s="19" t="s">
        <v>521</v>
      </c>
      <c r="M186" s="19" t="s">
        <v>522</v>
      </c>
      <c r="N186" s="18"/>
      <c r="O186" s="19" t="s">
        <v>523</v>
      </c>
      <c r="P186" s="18"/>
    </row>
    <row r="187" spans="1:16" x14ac:dyDescent="0.25">
      <c r="A187" s="19" t="s">
        <v>114</v>
      </c>
      <c r="B187" s="19" t="s">
        <v>511</v>
      </c>
      <c r="C187" s="19" t="s">
        <v>512</v>
      </c>
      <c r="D187" s="19" t="s">
        <v>26</v>
      </c>
      <c r="E187" s="21">
        <v>42917</v>
      </c>
      <c r="F187" s="18"/>
      <c r="G187" s="19" t="s">
        <v>28</v>
      </c>
      <c r="H187" s="19" t="s">
        <v>30</v>
      </c>
      <c r="I187" s="19" t="s">
        <v>19</v>
      </c>
      <c r="J187" s="19" t="s">
        <v>20</v>
      </c>
      <c r="K187" s="18"/>
      <c r="L187" s="19" t="s">
        <v>521</v>
      </c>
      <c r="M187" s="19" t="s">
        <v>522</v>
      </c>
      <c r="N187" s="18"/>
      <c r="O187" s="19" t="s">
        <v>524</v>
      </c>
      <c r="P187" s="18"/>
    </row>
    <row r="188" spans="1:16" ht="26.25" x14ac:dyDescent="0.25">
      <c r="A188" s="19" t="s">
        <v>108</v>
      </c>
      <c r="B188" s="19" t="s">
        <v>525</v>
      </c>
      <c r="C188" s="19" t="s">
        <v>343</v>
      </c>
      <c r="D188" s="19" t="s">
        <v>26</v>
      </c>
      <c r="E188" s="21">
        <v>42370</v>
      </c>
      <c r="F188" s="18"/>
      <c r="G188" s="19" t="s">
        <v>34</v>
      </c>
      <c r="H188" s="19" t="s">
        <v>30</v>
      </c>
      <c r="I188" s="19" t="s">
        <v>48</v>
      </c>
      <c r="J188" s="19" t="s">
        <v>20</v>
      </c>
      <c r="K188" s="18"/>
      <c r="L188" s="19" t="s">
        <v>526</v>
      </c>
      <c r="M188" s="19" t="s">
        <v>527</v>
      </c>
      <c r="N188" s="19" t="s">
        <v>134</v>
      </c>
      <c r="O188" s="19" t="s">
        <v>528</v>
      </c>
      <c r="P188" s="18"/>
    </row>
    <row r="189" spans="1:16" ht="26.25" x14ac:dyDescent="0.25">
      <c r="A189" s="19" t="s">
        <v>108</v>
      </c>
      <c r="B189" s="19" t="s">
        <v>525</v>
      </c>
      <c r="C189" s="19" t="s">
        <v>343</v>
      </c>
      <c r="D189" s="19" t="s">
        <v>26</v>
      </c>
      <c r="E189" s="21">
        <v>42370</v>
      </c>
      <c r="F189" s="18"/>
      <c r="G189" s="19" t="s">
        <v>34</v>
      </c>
      <c r="H189" s="19" t="s">
        <v>30</v>
      </c>
      <c r="I189" s="19" t="s">
        <v>48</v>
      </c>
      <c r="J189" s="19" t="s">
        <v>20</v>
      </c>
      <c r="K189" s="18"/>
      <c r="L189" s="19" t="s">
        <v>249</v>
      </c>
      <c r="M189" s="19" t="s">
        <v>529</v>
      </c>
      <c r="N189" s="19" t="s">
        <v>134</v>
      </c>
      <c r="O189" s="18"/>
      <c r="P189" s="18"/>
    </row>
    <row r="190" spans="1:16" ht="26.25" x14ac:dyDescent="0.25">
      <c r="A190" s="19" t="s">
        <v>108</v>
      </c>
      <c r="B190" s="19" t="s">
        <v>525</v>
      </c>
      <c r="C190" s="19" t="s">
        <v>343</v>
      </c>
      <c r="D190" s="19" t="s">
        <v>26</v>
      </c>
      <c r="E190" s="21">
        <v>42370</v>
      </c>
      <c r="F190" s="18"/>
      <c r="G190" s="19" t="s">
        <v>34</v>
      </c>
      <c r="H190" s="19" t="s">
        <v>30</v>
      </c>
      <c r="I190" s="19" t="s">
        <v>48</v>
      </c>
      <c r="J190" s="19" t="s">
        <v>20</v>
      </c>
      <c r="K190" s="18"/>
      <c r="L190" s="19" t="s">
        <v>410</v>
      </c>
      <c r="M190" s="19" t="s">
        <v>530</v>
      </c>
      <c r="N190" s="19" t="s">
        <v>134</v>
      </c>
      <c r="O190" s="18"/>
      <c r="P190" s="18"/>
    </row>
    <row r="191" spans="1:16" ht="26.25" x14ac:dyDescent="0.25">
      <c r="A191" s="19" t="s">
        <v>108</v>
      </c>
      <c r="B191" s="19" t="s">
        <v>525</v>
      </c>
      <c r="C191" s="19" t="s">
        <v>343</v>
      </c>
      <c r="D191" s="19" t="s">
        <v>26</v>
      </c>
      <c r="E191" s="21">
        <v>42370</v>
      </c>
      <c r="F191" s="18"/>
      <c r="G191" s="19" t="s">
        <v>34</v>
      </c>
      <c r="H191" s="19" t="s">
        <v>30</v>
      </c>
      <c r="I191" s="19" t="s">
        <v>48</v>
      </c>
      <c r="J191" s="19" t="s">
        <v>20</v>
      </c>
      <c r="K191" s="18"/>
      <c r="L191" s="19" t="s">
        <v>531</v>
      </c>
      <c r="M191" s="19" t="s">
        <v>532</v>
      </c>
      <c r="N191" s="19" t="s">
        <v>134</v>
      </c>
      <c r="O191" s="18"/>
      <c r="P191" s="18"/>
    </row>
    <row r="192" spans="1:16" ht="26.25" x14ac:dyDescent="0.25">
      <c r="A192" s="19" t="s">
        <v>108</v>
      </c>
      <c r="B192" s="19" t="s">
        <v>525</v>
      </c>
      <c r="C192" s="19" t="s">
        <v>343</v>
      </c>
      <c r="D192" s="19" t="s">
        <v>26</v>
      </c>
      <c r="E192" s="21">
        <v>42370</v>
      </c>
      <c r="F192" s="18"/>
      <c r="G192" s="19" t="s">
        <v>34</v>
      </c>
      <c r="H192" s="19" t="s">
        <v>30</v>
      </c>
      <c r="I192" s="19" t="s">
        <v>48</v>
      </c>
      <c r="J192" s="19" t="s">
        <v>20</v>
      </c>
      <c r="K192" s="18"/>
      <c r="L192" s="19" t="s">
        <v>533</v>
      </c>
      <c r="M192" s="19" t="s">
        <v>534</v>
      </c>
      <c r="N192" s="19" t="s">
        <v>134</v>
      </c>
      <c r="O192" s="18"/>
      <c r="P192" s="18"/>
    </row>
    <row r="193" spans="1:16" ht="26.25" x14ac:dyDescent="0.25">
      <c r="A193" s="19" t="s">
        <v>108</v>
      </c>
      <c r="B193" s="19" t="s">
        <v>525</v>
      </c>
      <c r="C193" s="19" t="s">
        <v>343</v>
      </c>
      <c r="D193" s="19" t="s">
        <v>26</v>
      </c>
      <c r="E193" s="21">
        <v>42370</v>
      </c>
      <c r="F193" s="18"/>
      <c r="G193" s="19" t="s">
        <v>34</v>
      </c>
      <c r="H193" s="19" t="s">
        <v>30</v>
      </c>
      <c r="I193" s="19" t="s">
        <v>48</v>
      </c>
      <c r="J193" s="19" t="s">
        <v>20</v>
      </c>
      <c r="K193" s="18"/>
      <c r="L193" s="19" t="s">
        <v>535</v>
      </c>
      <c r="M193" s="19" t="s">
        <v>536</v>
      </c>
      <c r="N193" s="18"/>
      <c r="O193" s="19" t="s">
        <v>537</v>
      </c>
      <c r="P193" s="18"/>
    </row>
    <row r="194" spans="1:16" ht="26.25" x14ac:dyDescent="0.25">
      <c r="A194" s="19" t="s">
        <v>108</v>
      </c>
      <c r="B194" s="19" t="s">
        <v>525</v>
      </c>
      <c r="C194" s="19" t="s">
        <v>343</v>
      </c>
      <c r="D194" s="19" t="s">
        <v>26</v>
      </c>
      <c r="E194" s="21">
        <v>42370</v>
      </c>
      <c r="F194" s="18"/>
      <c r="G194" s="19" t="s">
        <v>34</v>
      </c>
      <c r="H194" s="19" t="s">
        <v>30</v>
      </c>
      <c r="I194" s="19" t="s">
        <v>48</v>
      </c>
      <c r="J194" s="19" t="s">
        <v>20</v>
      </c>
      <c r="K194" s="18"/>
      <c r="L194" s="19" t="s">
        <v>538</v>
      </c>
      <c r="M194" s="19" t="s">
        <v>539</v>
      </c>
      <c r="N194" s="18"/>
      <c r="O194" s="19" t="s">
        <v>540</v>
      </c>
      <c r="P194" s="18"/>
    </row>
    <row r="195" spans="1:16" ht="26.25" x14ac:dyDescent="0.25">
      <c r="A195" s="19" t="s">
        <v>108</v>
      </c>
      <c r="B195" s="19" t="s">
        <v>525</v>
      </c>
      <c r="C195" s="19" t="s">
        <v>343</v>
      </c>
      <c r="D195" s="19" t="s">
        <v>26</v>
      </c>
      <c r="E195" s="21">
        <v>42370</v>
      </c>
      <c r="F195" s="18"/>
      <c r="G195" s="19" t="s">
        <v>34</v>
      </c>
      <c r="H195" s="19" t="s">
        <v>30</v>
      </c>
      <c r="I195" s="19" t="s">
        <v>48</v>
      </c>
      <c r="J195" s="19" t="s">
        <v>20</v>
      </c>
      <c r="K195" s="18"/>
      <c r="L195" s="19" t="s">
        <v>541</v>
      </c>
      <c r="M195" s="19" t="s">
        <v>542</v>
      </c>
      <c r="N195" s="19" t="s">
        <v>134</v>
      </c>
      <c r="O195" s="18"/>
      <c r="P195" s="18"/>
    </row>
    <row r="196" spans="1:16" ht="26.25" x14ac:dyDescent="0.25">
      <c r="A196" s="19" t="s">
        <v>108</v>
      </c>
      <c r="B196" s="19" t="s">
        <v>525</v>
      </c>
      <c r="C196" s="19" t="s">
        <v>343</v>
      </c>
      <c r="D196" s="19" t="s">
        <v>26</v>
      </c>
      <c r="E196" s="21">
        <v>42370</v>
      </c>
      <c r="F196" s="18"/>
      <c r="G196" s="19" t="s">
        <v>34</v>
      </c>
      <c r="H196" s="19" t="s">
        <v>30</v>
      </c>
      <c r="I196" s="19" t="s">
        <v>48</v>
      </c>
      <c r="J196" s="19" t="s">
        <v>20</v>
      </c>
      <c r="K196" s="18"/>
      <c r="L196" s="19" t="s">
        <v>543</v>
      </c>
      <c r="M196" s="19" t="s">
        <v>544</v>
      </c>
      <c r="N196" s="19" t="s">
        <v>134</v>
      </c>
      <c r="O196" s="18"/>
      <c r="P196" s="18"/>
    </row>
    <row r="197" spans="1:16" x14ac:dyDescent="0.25">
      <c r="A197" s="19" t="s">
        <v>113</v>
      </c>
      <c r="B197" s="19" t="s">
        <v>545</v>
      </c>
      <c r="C197" s="19" t="s">
        <v>363</v>
      </c>
      <c r="D197" s="19" t="s">
        <v>26</v>
      </c>
      <c r="E197" s="21">
        <v>42917</v>
      </c>
      <c r="F197" s="18"/>
      <c r="G197" s="19" t="s">
        <v>28</v>
      </c>
      <c r="H197" s="19" t="s">
        <v>30</v>
      </c>
      <c r="I197" s="19" t="s">
        <v>19</v>
      </c>
      <c r="J197" s="19" t="s">
        <v>29</v>
      </c>
      <c r="K197" s="18"/>
      <c r="L197" s="19" t="s">
        <v>546</v>
      </c>
      <c r="M197" s="19" t="s">
        <v>547</v>
      </c>
      <c r="N197" s="19" t="s">
        <v>169</v>
      </c>
      <c r="O197" s="19" t="s">
        <v>548</v>
      </c>
      <c r="P197" s="18"/>
    </row>
    <row r="198" spans="1:16" x14ac:dyDescent="0.25">
      <c r="A198" s="19" t="s">
        <v>113</v>
      </c>
      <c r="B198" s="19" t="s">
        <v>545</v>
      </c>
      <c r="C198" s="19" t="s">
        <v>363</v>
      </c>
      <c r="D198" s="19" t="s">
        <v>26</v>
      </c>
      <c r="E198" s="21">
        <v>42917</v>
      </c>
      <c r="F198" s="18"/>
      <c r="G198" s="19" t="s">
        <v>28</v>
      </c>
      <c r="H198" s="19" t="s">
        <v>30</v>
      </c>
      <c r="I198" s="19" t="s">
        <v>19</v>
      </c>
      <c r="J198" s="19" t="s">
        <v>29</v>
      </c>
      <c r="K198" s="18"/>
      <c r="L198" s="19" t="s">
        <v>382</v>
      </c>
      <c r="M198" s="19" t="s">
        <v>549</v>
      </c>
      <c r="N198" s="19" t="s">
        <v>247</v>
      </c>
      <c r="O198" s="19" t="s">
        <v>550</v>
      </c>
      <c r="P198" s="18"/>
    </row>
    <row r="199" spans="1:16" x14ac:dyDescent="0.25">
      <c r="A199" s="19" t="s">
        <v>109</v>
      </c>
      <c r="B199" s="19" t="s">
        <v>551</v>
      </c>
      <c r="C199" s="19" t="s">
        <v>552</v>
      </c>
      <c r="D199" s="19" t="s">
        <v>26</v>
      </c>
      <c r="E199" s="21">
        <v>41548</v>
      </c>
      <c r="F199" s="19" t="s">
        <v>553</v>
      </c>
      <c r="G199" s="19" t="s">
        <v>28</v>
      </c>
      <c r="H199" s="19" t="s">
        <v>30</v>
      </c>
      <c r="I199" s="19" t="s">
        <v>48</v>
      </c>
      <c r="J199" s="19" t="s">
        <v>20</v>
      </c>
      <c r="K199" s="18"/>
      <c r="L199" s="19" t="s">
        <v>132</v>
      </c>
      <c r="M199" s="19" t="s">
        <v>554</v>
      </c>
      <c r="N199" s="18"/>
      <c r="O199" s="19" t="s">
        <v>555</v>
      </c>
      <c r="P199" s="18"/>
    </row>
    <row r="200" spans="1:16" x14ac:dyDescent="0.25">
      <c r="A200" s="19" t="s">
        <v>109</v>
      </c>
      <c r="B200" s="19" t="s">
        <v>551</v>
      </c>
      <c r="C200" s="19" t="s">
        <v>552</v>
      </c>
      <c r="D200" s="19" t="s">
        <v>26</v>
      </c>
      <c r="E200" s="21">
        <v>41548</v>
      </c>
      <c r="F200" s="19" t="s">
        <v>553</v>
      </c>
      <c r="G200" s="19" t="s">
        <v>28</v>
      </c>
      <c r="H200" s="19" t="s">
        <v>30</v>
      </c>
      <c r="I200" s="19" t="s">
        <v>48</v>
      </c>
      <c r="J200" s="19" t="s">
        <v>20</v>
      </c>
      <c r="K200" s="18"/>
      <c r="L200" s="19" t="s">
        <v>219</v>
      </c>
      <c r="M200" s="19" t="s">
        <v>556</v>
      </c>
      <c r="N200" s="19" t="s">
        <v>134</v>
      </c>
      <c r="O200" s="19" t="s">
        <v>557</v>
      </c>
      <c r="P200" s="18"/>
    </row>
    <row r="201" spans="1:16" x14ac:dyDescent="0.25">
      <c r="A201" s="19" t="s">
        <v>109</v>
      </c>
      <c r="B201" s="19" t="s">
        <v>551</v>
      </c>
      <c r="C201" s="19" t="s">
        <v>552</v>
      </c>
      <c r="D201" s="19" t="s">
        <v>26</v>
      </c>
      <c r="E201" s="21">
        <v>41548</v>
      </c>
      <c r="F201" s="19" t="s">
        <v>553</v>
      </c>
      <c r="G201" s="19" t="s">
        <v>28</v>
      </c>
      <c r="H201" s="19" t="s">
        <v>30</v>
      </c>
      <c r="I201" s="19" t="s">
        <v>48</v>
      </c>
      <c r="J201" s="19" t="s">
        <v>20</v>
      </c>
      <c r="K201" s="18"/>
      <c r="L201" s="19" t="s">
        <v>558</v>
      </c>
      <c r="M201" s="19" t="s">
        <v>559</v>
      </c>
      <c r="N201" s="18"/>
      <c r="O201" s="19" t="s">
        <v>560</v>
      </c>
      <c r="P201" s="18"/>
    </row>
    <row r="202" spans="1:16" x14ac:dyDescent="0.25">
      <c r="A202" s="19" t="s">
        <v>109</v>
      </c>
      <c r="B202" s="19" t="s">
        <v>551</v>
      </c>
      <c r="C202" s="19" t="s">
        <v>552</v>
      </c>
      <c r="D202" s="19" t="s">
        <v>26</v>
      </c>
      <c r="E202" s="21">
        <v>41548</v>
      </c>
      <c r="F202" s="19" t="s">
        <v>553</v>
      </c>
      <c r="G202" s="19" t="s">
        <v>28</v>
      </c>
      <c r="H202" s="19" t="s">
        <v>30</v>
      </c>
      <c r="I202" s="19" t="s">
        <v>48</v>
      </c>
      <c r="J202" s="19" t="s">
        <v>20</v>
      </c>
      <c r="K202" s="18"/>
      <c r="L202" s="19" t="s">
        <v>132</v>
      </c>
      <c r="M202" s="19" t="s">
        <v>554</v>
      </c>
      <c r="N202" s="18"/>
      <c r="O202" s="19" t="s">
        <v>555</v>
      </c>
      <c r="P202" s="18"/>
    </row>
    <row r="203" spans="1:16" x14ac:dyDescent="0.25">
      <c r="A203" s="19" t="s">
        <v>109</v>
      </c>
      <c r="B203" s="19" t="s">
        <v>551</v>
      </c>
      <c r="C203" s="19" t="s">
        <v>552</v>
      </c>
      <c r="D203" s="19" t="s">
        <v>26</v>
      </c>
      <c r="E203" s="21">
        <v>41548</v>
      </c>
      <c r="F203" s="19" t="s">
        <v>553</v>
      </c>
      <c r="G203" s="19" t="s">
        <v>28</v>
      </c>
      <c r="H203" s="19" t="s">
        <v>30</v>
      </c>
      <c r="I203" s="19" t="s">
        <v>48</v>
      </c>
      <c r="J203" s="19" t="s">
        <v>20</v>
      </c>
      <c r="K203" s="18"/>
      <c r="L203" s="19" t="s">
        <v>212</v>
      </c>
      <c r="M203" s="19" t="s">
        <v>561</v>
      </c>
      <c r="N203" s="18"/>
      <c r="O203" s="18"/>
      <c r="P203" s="18"/>
    </row>
    <row r="204" spans="1:16" x14ac:dyDescent="0.25">
      <c r="A204" s="19" t="s">
        <v>109</v>
      </c>
      <c r="B204" s="19" t="s">
        <v>551</v>
      </c>
      <c r="C204" s="19" t="s">
        <v>552</v>
      </c>
      <c r="D204" s="19" t="s">
        <v>26</v>
      </c>
      <c r="E204" s="21">
        <v>41548</v>
      </c>
      <c r="F204" s="19" t="s">
        <v>553</v>
      </c>
      <c r="G204" s="19" t="s">
        <v>28</v>
      </c>
      <c r="H204" s="19" t="s">
        <v>30</v>
      </c>
      <c r="I204" s="19" t="s">
        <v>48</v>
      </c>
      <c r="J204" s="19" t="s">
        <v>20</v>
      </c>
      <c r="K204" s="18"/>
      <c r="L204" s="19" t="s">
        <v>562</v>
      </c>
      <c r="M204" s="19" t="s">
        <v>91</v>
      </c>
      <c r="N204" s="19" t="s">
        <v>134</v>
      </c>
      <c r="O204" s="18"/>
      <c r="P204" s="18"/>
    </row>
    <row r="205" spans="1:16" x14ac:dyDescent="0.25">
      <c r="A205" s="19" t="s">
        <v>109</v>
      </c>
      <c r="B205" s="19" t="s">
        <v>551</v>
      </c>
      <c r="C205" s="19" t="s">
        <v>552</v>
      </c>
      <c r="D205" s="19" t="s">
        <v>26</v>
      </c>
      <c r="E205" s="21">
        <v>41548</v>
      </c>
      <c r="F205" s="19" t="s">
        <v>553</v>
      </c>
      <c r="G205" s="19" t="s">
        <v>28</v>
      </c>
      <c r="H205" s="19" t="s">
        <v>30</v>
      </c>
      <c r="I205" s="19" t="s">
        <v>48</v>
      </c>
      <c r="J205" s="19" t="s">
        <v>20</v>
      </c>
      <c r="K205" s="18"/>
      <c r="L205" s="19" t="s">
        <v>563</v>
      </c>
      <c r="M205" s="19" t="s">
        <v>564</v>
      </c>
      <c r="N205" s="19" t="s">
        <v>134</v>
      </c>
      <c r="O205" s="18"/>
      <c r="P205" s="18"/>
    </row>
    <row r="206" spans="1:16" x14ac:dyDescent="0.25">
      <c r="A206" s="19" t="s">
        <v>109</v>
      </c>
      <c r="B206" s="19" t="s">
        <v>551</v>
      </c>
      <c r="C206" s="19" t="s">
        <v>552</v>
      </c>
      <c r="D206" s="19" t="s">
        <v>26</v>
      </c>
      <c r="E206" s="21">
        <v>41548</v>
      </c>
      <c r="F206" s="19" t="s">
        <v>553</v>
      </c>
      <c r="G206" s="19" t="s">
        <v>28</v>
      </c>
      <c r="H206" s="19" t="s">
        <v>30</v>
      </c>
      <c r="I206" s="19" t="s">
        <v>48</v>
      </c>
      <c r="J206" s="19" t="s">
        <v>20</v>
      </c>
      <c r="K206" s="18"/>
      <c r="L206" s="19" t="s">
        <v>565</v>
      </c>
      <c r="M206" s="19" t="s">
        <v>446</v>
      </c>
      <c r="N206" s="19" t="s">
        <v>134</v>
      </c>
      <c r="O206" s="18"/>
      <c r="P206" s="18"/>
    </row>
    <row r="207" spans="1:16" x14ac:dyDescent="0.25">
      <c r="A207" s="19" t="s">
        <v>109</v>
      </c>
      <c r="B207" s="19" t="s">
        <v>551</v>
      </c>
      <c r="C207" s="19" t="s">
        <v>552</v>
      </c>
      <c r="D207" s="19" t="s">
        <v>26</v>
      </c>
      <c r="E207" s="21">
        <v>41548</v>
      </c>
      <c r="F207" s="19" t="s">
        <v>553</v>
      </c>
      <c r="G207" s="19" t="s">
        <v>28</v>
      </c>
      <c r="H207" s="19" t="s">
        <v>30</v>
      </c>
      <c r="I207" s="19" t="s">
        <v>48</v>
      </c>
      <c r="J207" s="19" t="s">
        <v>20</v>
      </c>
      <c r="K207" s="18"/>
      <c r="L207" s="19" t="s">
        <v>566</v>
      </c>
      <c r="M207" s="19" t="s">
        <v>567</v>
      </c>
      <c r="N207" s="19" t="s">
        <v>134</v>
      </c>
      <c r="O207" s="18"/>
      <c r="P207" s="18"/>
    </row>
    <row r="208" spans="1:16" x14ac:dyDescent="0.25">
      <c r="A208" s="19" t="s">
        <v>109</v>
      </c>
      <c r="B208" s="19" t="s">
        <v>551</v>
      </c>
      <c r="C208" s="19" t="s">
        <v>552</v>
      </c>
      <c r="D208" s="19" t="s">
        <v>26</v>
      </c>
      <c r="E208" s="21">
        <v>41548</v>
      </c>
      <c r="F208" s="19" t="s">
        <v>553</v>
      </c>
      <c r="G208" s="19" t="s">
        <v>28</v>
      </c>
      <c r="H208" s="19" t="s">
        <v>30</v>
      </c>
      <c r="I208" s="19" t="s">
        <v>48</v>
      </c>
      <c r="J208" s="19" t="s">
        <v>20</v>
      </c>
      <c r="K208" s="18"/>
      <c r="L208" s="19" t="s">
        <v>568</v>
      </c>
      <c r="M208" s="19" t="s">
        <v>569</v>
      </c>
      <c r="N208" s="19" t="s">
        <v>134</v>
      </c>
      <c r="O208" s="18"/>
      <c r="P208" s="18"/>
    </row>
    <row r="209" spans="1:16" x14ac:dyDescent="0.25">
      <c r="A209" s="19" t="s">
        <v>109</v>
      </c>
      <c r="B209" s="19" t="s">
        <v>551</v>
      </c>
      <c r="C209" s="19" t="s">
        <v>552</v>
      </c>
      <c r="D209" s="19" t="s">
        <v>26</v>
      </c>
      <c r="E209" s="21">
        <v>41548</v>
      </c>
      <c r="F209" s="19" t="s">
        <v>553</v>
      </c>
      <c r="G209" s="19" t="s">
        <v>28</v>
      </c>
      <c r="H209" s="19" t="s">
        <v>30</v>
      </c>
      <c r="I209" s="19" t="s">
        <v>48</v>
      </c>
      <c r="J209" s="19" t="s">
        <v>20</v>
      </c>
      <c r="K209" s="18"/>
      <c r="L209" s="19" t="s">
        <v>212</v>
      </c>
      <c r="M209" s="19" t="s">
        <v>561</v>
      </c>
      <c r="N209" s="19" t="s">
        <v>134</v>
      </c>
      <c r="O209" s="18"/>
      <c r="P209" s="18"/>
    </row>
    <row r="210" spans="1:16" x14ac:dyDescent="0.25">
      <c r="A210" s="19" t="s">
        <v>109</v>
      </c>
      <c r="B210" s="19" t="s">
        <v>551</v>
      </c>
      <c r="C210" s="19" t="s">
        <v>552</v>
      </c>
      <c r="D210" s="19" t="s">
        <v>26</v>
      </c>
      <c r="E210" s="21">
        <v>41548</v>
      </c>
      <c r="F210" s="19" t="s">
        <v>553</v>
      </c>
      <c r="G210" s="19" t="s">
        <v>28</v>
      </c>
      <c r="H210" s="19" t="s">
        <v>30</v>
      </c>
      <c r="I210" s="19" t="s">
        <v>48</v>
      </c>
      <c r="J210" s="19" t="s">
        <v>20</v>
      </c>
      <c r="K210" s="18"/>
      <c r="L210" s="19" t="s">
        <v>400</v>
      </c>
      <c r="M210" s="19" t="s">
        <v>570</v>
      </c>
      <c r="N210" s="19" t="s">
        <v>134</v>
      </c>
      <c r="O210" s="18"/>
      <c r="P210" s="18"/>
    </row>
    <row r="211" spans="1:16" x14ac:dyDescent="0.25">
      <c r="A211" s="19" t="s">
        <v>109</v>
      </c>
      <c r="B211" s="19" t="s">
        <v>551</v>
      </c>
      <c r="C211" s="19" t="s">
        <v>552</v>
      </c>
      <c r="D211" s="19" t="s">
        <v>26</v>
      </c>
      <c r="E211" s="21">
        <v>41548</v>
      </c>
      <c r="F211" s="19" t="s">
        <v>553</v>
      </c>
      <c r="G211" s="19" t="s">
        <v>28</v>
      </c>
      <c r="H211" s="19" t="s">
        <v>30</v>
      </c>
      <c r="I211" s="19" t="s">
        <v>48</v>
      </c>
      <c r="J211" s="19" t="s">
        <v>20</v>
      </c>
      <c r="K211" s="18"/>
      <c r="L211" s="19" t="s">
        <v>85</v>
      </c>
      <c r="M211" s="19" t="s">
        <v>571</v>
      </c>
      <c r="N211" s="19" t="s">
        <v>134</v>
      </c>
      <c r="O211" s="18"/>
      <c r="P211" s="18"/>
    </row>
    <row r="212" spans="1:16" x14ac:dyDescent="0.25">
      <c r="A212" s="19" t="s">
        <v>109</v>
      </c>
      <c r="B212" s="19" t="s">
        <v>551</v>
      </c>
      <c r="C212" s="19" t="s">
        <v>552</v>
      </c>
      <c r="D212" s="19" t="s">
        <v>26</v>
      </c>
      <c r="E212" s="21">
        <v>41548</v>
      </c>
      <c r="F212" s="19" t="s">
        <v>553</v>
      </c>
      <c r="G212" s="19" t="s">
        <v>28</v>
      </c>
      <c r="H212" s="19" t="s">
        <v>30</v>
      </c>
      <c r="I212" s="19" t="s">
        <v>48</v>
      </c>
      <c r="J212" s="19" t="s">
        <v>20</v>
      </c>
      <c r="K212" s="18"/>
      <c r="L212" s="19" t="s">
        <v>339</v>
      </c>
      <c r="M212" s="19" t="s">
        <v>572</v>
      </c>
      <c r="N212" s="18"/>
      <c r="O212" s="19" t="s">
        <v>573</v>
      </c>
      <c r="P212" s="18"/>
    </row>
    <row r="213" spans="1:16" x14ac:dyDescent="0.25">
      <c r="A213" s="19" t="s">
        <v>109</v>
      </c>
      <c r="B213" s="19" t="s">
        <v>551</v>
      </c>
      <c r="C213" s="19" t="s">
        <v>552</v>
      </c>
      <c r="D213" s="19" t="s">
        <v>26</v>
      </c>
      <c r="E213" s="21">
        <v>41548</v>
      </c>
      <c r="F213" s="19" t="s">
        <v>553</v>
      </c>
      <c r="G213" s="19" t="s">
        <v>28</v>
      </c>
      <c r="H213" s="19" t="s">
        <v>30</v>
      </c>
      <c r="I213" s="19" t="s">
        <v>48</v>
      </c>
      <c r="J213" s="19" t="s">
        <v>20</v>
      </c>
      <c r="K213" s="18"/>
      <c r="L213" s="19" t="s">
        <v>558</v>
      </c>
      <c r="M213" s="19" t="s">
        <v>559</v>
      </c>
      <c r="N213" s="18"/>
      <c r="O213" s="19" t="s">
        <v>560</v>
      </c>
      <c r="P213" s="18"/>
    </row>
    <row r="215" spans="1:16" x14ac:dyDescent="0.25">
      <c r="B215" s="22" t="s">
        <v>101</v>
      </c>
    </row>
    <row r="216" spans="1:16" x14ac:dyDescent="0.25">
      <c r="B216" s="22" t="s">
        <v>35</v>
      </c>
    </row>
    <row r="217" spans="1:16" x14ac:dyDescent="0.25">
      <c r="B217" s="22" t="s">
        <v>36</v>
      </c>
    </row>
    <row r="218" spans="1:16" x14ac:dyDescent="0.25">
      <c r="B218" s="22" t="s">
        <v>578</v>
      </c>
    </row>
    <row r="219" spans="1:16" x14ac:dyDescent="0.25">
      <c r="B219" s="22" t="s">
        <v>37</v>
      </c>
    </row>
  </sheetData>
  <autoFilter ref="A1:Q1" xr:uid="{84A2D53A-2DD8-4CA0-B5D3-0A9FE3B88525}"/>
  <sortState ref="B2:Q39">
    <sortCondition ref="B2:B39"/>
  </sortState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31"/>
  <sheetViews>
    <sheetView workbookViewId="0">
      <selection activeCell="H5" sqref="H5"/>
    </sheetView>
  </sheetViews>
  <sheetFormatPr defaultRowHeight="15" x14ac:dyDescent="0.25"/>
  <cols>
    <col min="1" max="1" width="36.5703125" style="16" bestFit="1" customWidth="1"/>
    <col min="2" max="2" width="15" style="16" bestFit="1" customWidth="1"/>
    <col min="3" max="3" width="17.42578125" style="16" bestFit="1" customWidth="1"/>
    <col min="4" max="4" width="6.5703125" style="16" bestFit="1" customWidth="1"/>
    <col min="5" max="5" width="25" style="16" bestFit="1" customWidth="1"/>
    <col min="6" max="6" width="10.28515625" style="16" bestFit="1" customWidth="1"/>
    <col min="7" max="7" width="14.140625" style="16" bestFit="1" customWidth="1"/>
    <col min="8" max="8" width="14.28515625" style="16" bestFit="1" customWidth="1"/>
    <col min="9" max="9" width="20.140625" style="16" bestFit="1" customWidth="1"/>
    <col min="10" max="10" width="24.28515625" style="16" bestFit="1" customWidth="1"/>
    <col min="11" max="11" width="19" style="16" bestFit="1" customWidth="1"/>
    <col min="12" max="12" width="28.85546875" style="16" bestFit="1" customWidth="1"/>
    <col min="13" max="13" width="11" style="16" bestFit="1" customWidth="1"/>
    <col min="14" max="14" width="22.85546875" style="16" bestFit="1" customWidth="1"/>
    <col min="15" max="16384" width="9.140625" style="16"/>
  </cols>
  <sheetData>
    <row r="1" spans="1:14" x14ac:dyDescent="0.25">
      <c r="A1" s="17" t="s">
        <v>14</v>
      </c>
      <c r="B1" s="17" t="s">
        <v>7</v>
      </c>
      <c r="C1" s="17" t="s">
        <v>5</v>
      </c>
      <c r="D1" s="17" t="s">
        <v>38</v>
      </c>
      <c r="E1" s="17" t="s">
        <v>39</v>
      </c>
      <c r="F1" s="17" t="s">
        <v>40</v>
      </c>
      <c r="G1" s="17" t="s">
        <v>41</v>
      </c>
      <c r="H1" s="17" t="s">
        <v>574</v>
      </c>
      <c r="I1" s="17" t="s">
        <v>42</v>
      </c>
      <c r="J1" s="17" t="s">
        <v>43</v>
      </c>
      <c r="K1" s="17" t="s">
        <v>575</v>
      </c>
      <c r="L1" s="17" t="s">
        <v>576</v>
      </c>
      <c r="M1" s="17" t="s">
        <v>44</v>
      </c>
      <c r="N1" s="17" t="s">
        <v>6</v>
      </c>
    </row>
    <row r="2" spans="1:14" x14ac:dyDescent="0.25">
      <c r="A2" s="19" t="s">
        <v>84</v>
      </c>
      <c r="B2" s="19" t="s">
        <v>48</v>
      </c>
      <c r="C2" s="19" t="s">
        <v>34</v>
      </c>
      <c r="D2" s="19" t="s">
        <v>29</v>
      </c>
      <c r="E2" s="19" t="s">
        <v>29</v>
      </c>
      <c r="F2" s="19" t="s">
        <v>47</v>
      </c>
      <c r="G2" s="21">
        <v>44137</v>
      </c>
      <c r="H2" s="18"/>
      <c r="I2" s="19" t="s">
        <v>29</v>
      </c>
      <c r="J2" s="19" t="s">
        <v>29</v>
      </c>
      <c r="K2" s="18"/>
      <c r="L2" s="18"/>
      <c r="M2" s="19" t="s">
        <v>69</v>
      </c>
      <c r="N2" s="19" t="s">
        <v>30</v>
      </c>
    </row>
    <row r="3" spans="1:14" x14ac:dyDescent="0.25">
      <c r="A3" s="19" t="s">
        <v>105</v>
      </c>
      <c r="B3" s="19" t="s">
        <v>48</v>
      </c>
      <c r="C3" s="19" t="s">
        <v>34</v>
      </c>
      <c r="D3" s="19" t="s">
        <v>29</v>
      </c>
      <c r="E3" s="19" t="s">
        <v>29</v>
      </c>
      <c r="F3" s="19" t="s">
        <v>47</v>
      </c>
      <c r="G3" s="21">
        <v>43339</v>
      </c>
      <c r="H3" s="18"/>
      <c r="I3" s="19" t="s">
        <v>29</v>
      </c>
      <c r="J3" s="19" t="s">
        <v>29</v>
      </c>
      <c r="K3" s="18"/>
      <c r="L3" s="18"/>
      <c r="M3" s="19" t="s">
        <v>69</v>
      </c>
      <c r="N3" s="19" t="s">
        <v>30</v>
      </c>
    </row>
    <row r="4" spans="1:14" x14ac:dyDescent="0.25">
      <c r="A4" s="19" t="s">
        <v>103</v>
      </c>
      <c r="B4" s="19" t="s">
        <v>48</v>
      </c>
      <c r="C4" s="19" t="s">
        <v>34</v>
      </c>
      <c r="D4" s="19" t="s">
        <v>29</v>
      </c>
      <c r="E4" s="19" t="s">
        <v>29</v>
      </c>
      <c r="F4" s="19" t="s">
        <v>47</v>
      </c>
      <c r="G4" s="21">
        <v>43339</v>
      </c>
      <c r="H4" s="18"/>
      <c r="I4" s="19" t="s">
        <v>29</v>
      </c>
      <c r="J4" s="19" t="s">
        <v>29</v>
      </c>
      <c r="K4" s="18"/>
      <c r="L4" s="18"/>
      <c r="M4" s="19" t="s">
        <v>69</v>
      </c>
      <c r="N4" s="19" t="s">
        <v>30</v>
      </c>
    </row>
    <row r="5" spans="1:14" x14ac:dyDescent="0.25">
      <c r="A5" s="19" t="s">
        <v>102</v>
      </c>
      <c r="B5" s="19" t="s">
        <v>48</v>
      </c>
      <c r="C5" s="19" t="s">
        <v>34</v>
      </c>
      <c r="D5" s="19" t="s">
        <v>29</v>
      </c>
      <c r="E5" s="19" t="s">
        <v>29</v>
      </c>
      <c r="F5" s="18"/>
      <c r="G5" s="20"/>
      <c r="H5" s="18"/>
      <c r="I5" s="19" t="s">
        <v>29</v>
      </c>
      <c r="J5" s="19" t="s">
        <v>29</v>
      </c>
      <c r="K5" s="18"/>
      <c r="L5" s="18"/>
      <c r="M5" s="19" t="s">
        <v>69</v>
      </c>
      <c r="N5" s="19" t="s">
        <v>18</v>
      </c>
    </row>
    <row r="6" spans="1:14" x14ac:dyDescent="0.25">
      <c r="A6" s="19" t="s">
        <v>106</v>
      </c>
      <c r="B6" s="19" t="s">
        <v>48</v>
      </c>
      <c r="C6" s="19" t="s">
        <v>34</v>
      </c>
      <c r="D6" s="19" t="s">
        <v>29</v>
      </c>
      <c r="E6" s="19" t="s">
        <v>29</v>
      </c>
      <c r="F6" s="19" t="s">
        <v>45</v>
      </c>
      <c r="G6" s="21">
        <v>43546</v>
      </c>
      <c r="H6" s="18"/>
      <c r="I6" s="19" t="s">
        <v>29</v>
      </c>
      <c r="J6" s="19" t="s">
        <v>29</v>
      </c>
      <c r="K6" s="18"/>
      <c r="L6" s="18"/>
      <c r="M6" s="19" t="s">
        <v>69</v>
      </c>
      <c r="N6" s="19" t="s">
        <v>30</v>
      </c>
    </row>
    <row r="7" spans="1:14" ht="26.25" x14ac:dyDescent="0.25">
      <c r="A7" s="19" t="s">
        <v>107</v>
      </c>
      <c r="B7" s="19" t="s">
        <v>48</v>
      </c>
      <c r="C7" s="19" t="s">
        <v>34</v>
      </c>
      <c r="D7" s="19" t="s">
        <v>29</v>
      </c>
      <c r="E7" s="19" t="s">
        <v>29</v>
      </c>
      <c r="F7" s="19" t="s">
        <v>47</v>
      </c>
      <c r="G7" s="21">
        <v>43889</v>
      </c>
      <c r="H7" s="18"/>
      <c r="I7" s="19" t="s">
        <v>29</v>
      </c>
      <c r="J7" s="19" t="s">
        <v>29</v>
      </c>
      <c r="K7" s="18"/>
      <c r="L7" s="18"/>
      <c r="M7" s="19" t="s">
        <v>69</v>
      </c>
      <c r="N7" s="19" t="s">
        <v>30</v>
      </c>
    </row>
    <row r="8" spans="1:14" x14ac:dyDescent="0.25">
      <c r="A8" s="19" t="s">
        <v>104</v>
      </c>
      <c r="B8" s="19" t="s">
        <v>48</v>
      </c>
      <c r="C8" s="19" t="s">
        <v>34</v>
      </c>
      <c r="D8" s="19" t="s">
        <v>29</v>
      </c>
      <c r="E8" s="19" t="s">
        <v>29</v>
      </c>
      <c r="F8" s="19" t="s">
        <v>47</v>
      </c>
      <c r="G8" s="21">
        <v>43888</v>
      </c>
      <c r="H8" s="18"/>
      <c r="I8" s="19" t="s">
        <v>29</v>
      </c>
      <c r="J8" s="19" t="s">
        <v>29</v>
      </c>
      <c r="K8" s="18"/>
      <c r="L8" s="18"/>
      <c r="M8" s="19" t="s">
        <v>69</v>
      </c>
      <c r="N8" s="19" t="s">
        <v>30</v>
      </c>
    </row>
    <row r="9" spans="1:14" x14ac:dyDescent="0.25">
      <c r="A9" s="19" t="s">
        <v>108</v>
      </c>
      <c r="B9" s="19" t="s">
        <v>48</v>
      </c>
      <c r="C9" s="19" t="s">
        <v>34</v>
      </c>
      <c r="D9" s="19" t="s">
        <v>29</v>
      </c>
      <c r="E9" s="19" t="s">
        <v>29</v>
      </c>
      <c r="F9" s="19" t="s">
        <v>47</v>
      </c>
      <c r="G9" s="21">
        <v>43931</v>
      </c>
      <c r="H9" s="18"/>
      <c r="I9" s="19" t="s">
        <v>29</v>
      </c>
      <c r="J9" s="19" t="s">
        <v>29</v>
      </c>
      <c r="K9" s="18"/>
      <c r="L9" s="18"/>
      <c r="M9" s="19" t="s">
        <v>69</v>
      </c>
      <c r="N9" s="19" t="s">
        <v>30</v>
      </c>
    </row>
    <row r="10" spans="1:14" x14ac:dyDescent="0.25">
      <c r="A10" s="19" t="s">
        <v>109</v>
      </c>
      <c r="B10" s="19" t="s">
        <v>48</v>
      </c>
      <c r="C10" s="19" t="s">
        <v>28</v>
      </c>
      <c r="D10" s="19" t="s">
        <v>29</v>
      </c>
      <c r="E10" s="19" t="s">
        <v>29</v>
      </c>
      <c r="F10" s="19" t="s">
        <v>45</v>
      </c>
      <c r="G10" s="21">
        <v>43394</v>
      </c>
      <c r="H10" s="18"/>
      <c r="I10" s="19" t="s">
        <v>29</v>
      </c>
      <c r="J10" s="19" t="s">
        <v>29</v>
      </c>
      <c r="K10" s="18"/>
      <c r="L10" s="18"/>
      <c r="M10" s="19" t="s">
        <v>69</v>
      </c>
      <c r="N10" s="19" t="s">
        <v>30</v>
      </c>
    </row>
    <row r="11" spans="1:14" x14ac:dyDescent="0.25">
      <c r="A11" s="19" t="s">
        <v>118</v>
      </c>
      <c r="B11" s="19" t="s">
        <v>19</v>
      </c>
      <c r="C11" s="19" t="s">
        <v>34</v>
      </c>
      <c r="D11" s="19" t="s">
        <v>29</v>
      </c>
      <c r="E11" s="19" t="s">
        <v>29</v>
      </c>
      <c r="F11" s="19" t="s">
        <v>47</v>
      </c>
      <c r="G11" s="21">
        <v>43586</v>
      </c>
      <c r="H11" s="18"/>
      <c r="I11" s="19" t="s">
        <v>29</v>
      </c>
      <c r="J11" s="19" t="s">
        <v>29</v>
      </c>
      <c r="K11" s="19" t="s">
        <v>29</v>
      </c>
      <c r="L11" s="19" t="s">
        <v>29</v>
      </c>
      <c r="M11" s="19" t="s">
        <v>50</v>
      </c>
      <c r="N11" s="19" t="s">
        <v>30</v>
      </c>
    </row>
    <row r="12" spans="1:14" x14ac:dyDescent="0.25">
      <c r="A12" s="19" t="s">
        <v>25</v>
      </c>
      <c r="B12" s="19" t="s">
        <v>19</v>
      </c>
      <c r="C12" s="19" t="s">
        <v>28</v>
      </c>
      <c r="D12" s="19" t="s">
        <v>29</v>
      </c>
      <c r="E12" s="19" t="s">
        <v>29</v>
      </c>
      <c r="F12" s="19" t="s">
        <v>46</v>
      </c>
      <c r="G12" s="21">
        <v>43350</v>
      </c>
      <c r="H12" s="18"/>
      <c r="I12" s="19" t="s">
        <v>29</v>
      </c>
      <c r="J12" s="19" t="s">
        <v>29</v>
      </c>
      <c r="K12" s="19" t="s">
        <v>29</v>
      </c>
      <c r="L12" s="18"/>
      <c r="M12" s="19" t="s">
        <v>49</v>
      </c>
      <c r="N12" s="19" t="s">
        <v>18</v>
      </c>
    </row>
    <row r="13" spans="1:14" x14ac:dyDescent="0.25">
      <c r="A13" s="19" t="s">
        <v>115</v>
      </c>
      <c r="B13" s="19" t="s">
        <v>19</v>
      </c>
      <c r="C13" s="19" t="s">
        <v>28</v>
      </c>
      <c r="D13" s="19" t="s">
        <v>29</v>
      </c>
      <c r="E13" s="19" t="s">
        <v>29</v>
      </c>
      <c r="F13" s="19" t="s">
        <v>47</v>
      </c>
      <c r="G13" s="21">
        <v>43721</v>
      </c>
      <c r="H13" s="18"/>
      <c r="I13" s="19" t="s">
        <v>29</v>
      </c>
      <c r="J13" s="19" t="s">
        <v>29</v>
      </c>
      <c r="K13" s="19" t="s">
        <v>29</v>
      </c>
      <c r="L13" s="18"/>
      <c r="M13" s="19" t="s">
        <v>50</v>
      </c>
      <c r="N13" s="19" t="s">
        <v>30</v>
      </c>
    </row>
    <row r="14" spans="1:14" ht="26.25" x14ac:dyDescent="0.25">
      <c r="A14" s="19" t="s">
        <v>100</v>
      </c>
      <c r="B14" s="19" t="s">
        <v>19</v>
      </c>
      <c r="C14" s="19" t="s">
        <v>28</v>
      </c>
      <c r="D14" s="19" t="s">
        <v>29</v>
      </c>
      <c r="E14" s="19" t="s">
        <v>29</v>
      </c>
      <c r="F14" s="18"/>
      <c r="G14" s="20"/>
      <c r="H14" s="19" t="s">
        <v>29</v>
      </c>
      <c r="I14" s="19" t="s">
        <v>29</v>
      </c>
      <c r="J14" s="19" t="s">
        <v>29</v>
      </c>
      <c r="K14" s="19" t="s">
        <v>29</v>
      </c>
      <c r="L14" s="18"/>
      <c r="M14" s="19" t="s">
        <v>50</v>
      </c>
      <c r="N14" s="19" t="s">
        <v>30</v>
      </c>
    </row>
    <row r="15" spans="1:14" x14ac:dyDescent="0.25">
      <c r="A15" s="19" t="s">
        <v>110</v>
      </c>
      <c r="B15" s="19" t="s">
        <v>19</v>
      </c>
      <c r="C15" s="19" t="s">
        <v>34</v>
      </c>
      <c r="D15" s="19" t="s">
        <v>29</v>
      </c>
      <c r="E15" s="19" t="s">
        <v>29</v>
      </c>
      <c r="F15" s="19" t="s">
        <v>47</v>
      </c>
      <c r="G15" s="21">
        <v>43639</v>
      </c>
      <c r="H15" s="18"/>
      <c r="I15" s="19" t="s">
        <v>29</v>
      </c>
      <c r="J15" s="19" t="s">
        <v>29</v>
      </c>
      <c r="K15" s="19" t="s">
        <v>29</v>
      </c>
      <c r="L15" s="19" t="s">
        <v>29</v>
      </c>
      <c r="M15" s="19" t="s">
        <v>50</v>
      </c>
      <c r="N15" s="19" t="s">
        <v>30</v>
      </c>
    </row>
    <row r="16" spans="1:14" x14ac:dyDescent="0.25">
      <c r="A16" s="19" t="s">
        <v>112</v>
      </c>
      <c r="B16" s="19" t="s">
        <v>19</v>
      </c>
      <c r="C16" s="19" t="s">
        <v>34</v>
      </c>
      <c r="D16" s="19" t="s">
        <v>29</v>
      </c>
      <c r="E16" s="19" t="s">
        <v>29</v>
      </c>
      <c r="F16" s="19" t="s">
        <v>47</v>
      </c>
      <c r="G16" s="21">
        <v>43639</v>
      </c>
      <c r="H16" s="18"/>
      <c r="I16" s="19" t="s">
        <v>29</v>
      </c>
      <c r="J16" s="19" t="s">
        <v>29</v>
      </c>
      <c r="K16" s="19" t="s">
        <v>29</v>
      </c>
      <c r="L16" s="19" t="s">
        <v>29</v>
      </c>
      <c r="M16" s="19" t="s">
        <v>50</v>
      </c>
      <c r="N16" s="19" t="s">
        <v>30</v>
      </c>
    </row>
    <row r="17" spans="1:14" x14ac:dyDescent="0.25">
      <c r="A17" s="19" t="s">
        <v>111</v>
      </c>
      <c r="B17" s="19" t="s">
        <v>19</v>
      </c>
      <c r="C17" s="19" t="s">
        <v>28</v>
      </c>
      <c r="D17" s="19" t="s">
        <v>29</v>
      </c>
      <c r="E17" s="19" t="s">
        <v>29</v>
      </c>
      <c r="F17" s="18"/>
      <c r="G17" s="20"/>
      <c r="H17" s="19" t="s">
        <v>29</v>
      </c>
      <c r="I17" s="19" t="s">
        <v>29</v>
      </c>
      <c r="J17" s="19" t="s">
        <v>29</v>
      </c>
      <c r="K17" s="19" t="s">
        <v>29</v>
      </c>
      <c r="L17" s="18"/>
      <c r="M17" s="19" t="s">
        <v>50</v>
      </c>
      <c r="N17" s="19" t="s">
        <v>30</v>
      </c>
    </row>
    <row r="18" spans="1:14" x14ac:dyDescent="0.25">
      <c r="A18" s="19" t="s">
        <v>117</v>
      </c>
      <c r="B18" s="19" t="s">
        <v>19</v>
      </c>
      <c r="C18" s="19" t="s">
        <v>34</v>
      </c>
      <c r="D18" s="19" t="s">
        <v>29</v>
      </c>
      <c r="E18" s="19" t="s">
        <v>29</v>
      </c>
      <c r="F18" s="18"/>
      <c r="G18" s="20"/>
      <c r="H18" s="19" t="s">
        <v>29</v>
      </c>
      <c r="I18" s="19" t="s">
        <v>29</v>
      </c>
      <c r="J18" s="19" t="s">
        <v>29</v>
      </c>
      <c r="K18" s="19" t="s">
        <v>29</v>
      </c>
      <c r="L18" s="19" t="s">
        <v>579</v>
      </c>
      <c r="M18" s="19" t="s">
        <v>50</v>
      </c>
      <c r="N18" s="19" t="s">
        <v>30</v>
      </c>
    </row>
    <row r="19" spans="1:14" x14ac:dyDescent="0.25">
      <c r="A19" s="19" t="s">
        <v>116</v>
      </c>
      <c r="B19" s="19" t="s">
        <v>19</v>
      </c>
      <c r="C19" s="19" t="s">
        <v>34</v>
      </c>
      <c r="D19" s="19" t="s">
        <v>29</v>
      </c>
      <c r="E19" s="19" t="s">
        <v>29</v>
      </c>
      <c r="F19" s="18"/>
      <c r="G19" s="20"/>
      <c r="H19" s="19" t="s">
        <v>29</v>
      </c>
      <c r="I19" s="19" t="s">
        <v>29</v>
      </c>
      <c r="J19" s="19" t="s">
        <v>29</v>
      </c>
      <c r="K19" s="19" t="s">
        <v>29</v>
      </c>
      <c r="L19" s="19" t="s">
        <v>579</v>
      </c>
      <c r="M19" s="19" t="s">
        <v>50</v>
      </c>
      <c r="N19" s="19" t="s">
        <v>30</v>
      </c>
    </row>
    <row r="20" spans="1:14" x14ac:dyDescent="0.25">
      <c r="A20" s="19" t="s">
        <v>114</v>
      </c>
      <c r="B20" s="19" t="s">
        <v>19</v>
      </c>
      <c r="C20" s="19" t="s">
        <v>28</v>
      </c>
      <c r="D20" s="19" t="s">
        <v>29</v>
      </c>
      <c r="E20" s="19" t="s">
        <v>29</v>
      </c>
      <c r="F20" s="19" t="s">
        <v>47</v>
      </c>
      <c r="G20" s="21">
        <v>43706</v>
      </c>
      <c r="H20" s="18"/>
      <c r="I20" s="19" t="s">
        <v>29</v>
      </c>
      <c r="J20" s="19" t="s">
        <v>29</v>
      </c>
      <c r="K20" s="19" t="s">
        <v>29</v>
      </c>
      <c r="L20" s="18"/>
      <c r="M20" s="19" t="s">
        <v>50</v>
      </c>
      <c r="N20" s="19" t="s">
        <v>30</v>
      </c>
    </row>
    <row r="21" spans="1:14" x14ac:dyDescent="0.25">
      <c r="A21" s="19" t="s">
        <v>113</v>
      </c>
      <c r="B21" s="19" t="s">
        <v>19</v>
      </c>
      <c r="C21" s="19" t="s">
        <v>28</v>
      </c>
      <c r="D21" s="19" t="s">
        <v>29</v>
      </c>
      <c r="E21" s="19" t="s">
        <v>29</v>
      </c>
      <c r="F21" s="19" t="s">
        <v>47</v>
      </c>
      <c r="G21" s="21">
        <v>44034</v>
      </c>
      <c r="H21" s="18"/>
      <c r="I21" s="19" t="s">
        <v>29</v>
      </c>
      <c r="J21" s="19" t="s">
        <v>29</v>
      </c>
      <c r="K21" s="19" t="s">
        <v>29</v>
      </c>
      <c r="L21" s="18"/>
      <c r="M21" s="19" t="s">
        <v>50</v>
      </c>
      <c r="N21" s="19" t="s">
        <v>30</v>
      </c>
    </row>
    <row r="27" spans="1:14" x14ac:dyDescent="0.25">
      <c r="A27" s="22" t="s">
        <v>101</v>
      </c>
    </row>
    <row r="28" spans="1:14" x14ac:dyDescent="0.25">
      <c r="A28" s="22" t="s">
        <v>35</v>
      </c>
    </row>
    <row r="29" spans="1:14" x14ac:dyDescent="0.25">
      <c r="A29" s="22" t="s">
        <v>36</v>
      </c>
    </row>
    <row r="30" spans="1:14" x14ac:dyDescent="0.25">
      <c r="A30" s="22" t="s">
        <v>578</v>
      </c>
    </row>
    <row r="31" spans="1:14" x14ac:dyDescent="0.25">
      <c r="A31" s="22" t="s">
        <v>37</v>
      </c>
    </row>
  </sheetData>
  <autoFilter ref="A1:N1" xr:uid="{B29D49CA-0109-4759-9168-909D788E81BB}"/>
  <sortState ref="A2:N21">
    <sortCondition ref="B2:B21"/>
    <sortCondition ref="A2:A21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155"/>
  <sheetViews>
    <sheetView topLeftCell="A42" workbookViewId="0">
      <pane xSplit="1" topLeftCell="B1" activePane="topRight" state="frozen"/>
      <selection pane="topRight" activeCell="A47" sqref="A47"/>
    </sheetView>
  </sheetViews>
  <sheetFormatPr defaultRowHeight="15" x14ac:dyDescent="0.25"/>
  <cols>
    <col min="1" max="1" width="38.5703125" style="4" customWidth="1"/>
    <col min="2" max="2" width="36.5703125" style="16" bestFit="1" customWidth="1"/>
    <col min="3" max="3" width="18.85546875" style="16" bestFit="1" customWidth="1"/>
    <col min="4" max="4" width="15" style="16" bestFit="1" customWidth="1"/>
    <col min="5" max="5" width="21" style="16" bestFit="1" customWidth="1"/>
    <col min="6" max="6" width="11.42578125" style="16" bestFit="1" customWidth="1"/>
    <col min="7" max="7" width="13.42578125" customWidth="1"/>
    <col min="8" max="8" width="12.85546875" style="16" customWidth="1"/>
    <col min="9" max="10" width="9.85546875" style="1" customWidth="1"/>
    <col min="11" max="11" width="9.42578125" style="1" customWidth="1"/>
    <col min="12" max="12" width="13" style="1" customWidth="1"/>
    <col min="13" max="13" width="13.7109375" style="16" customWidth="1"/>
    <col min="14" max="14" width="13.42578125" style="1" customWidth="1"/>
    <col min="15" max="15" width="8.140625" style="1" bestFit="1" customWidth="1"/>
    <col min="16" max="16" width="13.42578125" style="1" customWidth="1"/>
  </cols>
  <sheetData>
    <row r="1" spans="1:17" ht="52.5" customHeight="1" x14ac:dyDescent="0.25">
      <c r="A1" s="4" t="s">
        <v>71</v>
      </c>
      <c r="B1" s="17" t="s">
        <v>14</v>
      </c>
      <c r="C1" s="17" t="s">
        <v>8</v>
      </c>
      <c r="D1" s="17" t="s">
        <v>7</v>
      </c>
      <c r="E1" s="17" t="s">
        <v>51</v>
      </c>
      <c r="F1" s="17" t="s">
        <v>52</v>
      </c>
      <c r="G1" s="10" t="s">
        <v>130</v>
      </c>
      <c r="H1" s="17" t="s">
        <v>53</v>
      </c>
      <c r="I1" s="2" t="s">
        <v>73</v>
      </c>
      <c r="J1" s="2" t="s">
        <v>72</v>
      </c>
      <c r="K1" s="2" t="s">
        <v>129</v>
      </c>
      <c r="L1" s="12" t="s">
        <v>120</v>
      </c>
      <c r="M1" s="17" t="s">
        <v>121</v>
      </c>
      <c r="N1" s="2" t="s">
        <v>122</v>
      </c>
      <c r="O1" s="2" t="s">
        <v>72</v>
      </c>
      <c r="P1" s="2" t="s">
        <v>123</v>
      </c>
      <c r="Q1" s="17" t="s">
        <v>577</v>
      </c>
    </row>
    <row r="2" spans="1:17" x14ac:dyDescent="0.25">
      <c r="A2" s="1" t="str">
        <f t="shared" ref="A2:A33" si="0">_xlfn.CONCAT(B2,F2)</f>
        <v>Anchor Medical Associates2017-Q1</v>
      </c>
      <c r="B2" s="19" t="s">
        <v>84</v>
      </c>
      <c r="C2" s="19" t="s">
        <v>29</v>
      </c>
      <c r="D2" s="39">
        <v>1</v>
      </c>
      <c r="E2" s="19" t="s">
        <v>27</v>
      </c>
      <c r="F2" s="19" t="s">
        <v>54</v>
      </c>
      <c r="G2" s="11">
        <v>76</v>
      </c>
      <c r="H2" s="14">
        <v>84</v>
      </c>
      <c r="I2" s="3" t="str">
        <f>IF((H2&gt;=G2),"yes",IF(H2&gt;=(G2*0.9),"within 10%","no"))</f>
        <v>yes</v>
      </c>
      <c r="J2" s="14" t="str">
        <f>IF($F2='Contract Adjudication Notes'!$D$2,IF($D2='Contract Adjudication Notes'!$D$6,"Start up",IFERROR(VLOOKUP($B2&amp;'Contract Adjudication Notes'!$D$3,$A$2:$P$67,8,FALSE),"NA")),"")</f>
        <v/>
      </c>
      <c r="K2" s="14" t="str">
        <f>IF(AND($F2='Contract Adjudication Notes'!$D$2,NOT($D2='Contract Adjudication Notes'!$D$6),OR(I2="no",I2="within 10%")),IF(((H2-J2)&gt;=5),IF(H2&gt;=(J2+((G2-J2)/2)),"yes","no"),"no")," ")</f>
        <v xml:space="preserve"> </v>
      </c>
      <c r="L2" s="13">
        <v>75</v>
      </c>
      <c r="M2" s="14">
        <v>34</v>
      </c>
      <c r="N2" s="3" t="str">
        <f>IF((M2&gt;=L2),"yes",IF(M2&gt;=(L2*0.9),"within 10%","no"))</f>
        <v>no</v>
      </c>
      <c r="O2" s="3" t="str">
        <f>IF($F2='Contract Adjudication Notes'!$D$2,IF($D2='Contract Adjudication Notes'!$D$6,"Start up",IFERROR(VLOOKUP($B2&amp;'Contract Adjudication Notes'!$D$3,$A$2:$P$67,13,FALSE),"NA")),"")</f>
        <v/>
      </c>
      <c r="P2" s="3" t="str">
        <f>IF(AND($F2='Contract Adjudication Notes'!$D$2,OR(N2="no",N2="within 10%"),NOT($D2='Contract Adjudication Notes'!$D$6)),IF(((M2-O2)&gt;=5),IF(M2&gt;=(O2+((L2-O2)/2)),"yes","no"),"no")," ")</f>
        <v xml:space="preserve"> </v>
      </c>
      <c r="Q2" s="16" t="str">
        <f>IF($F2='Contract Adjudication Notes'!$D$2,COUNTIF(I2:P2, "yes"),"")</f>
        <v/>
      </c>
    </row>
    <row r="3" spans="1:17" x14ac:dyDescent="0.25">
      <c r="A3" s="4" t="str">
        <f>_xlfn.CONCAT(B3,F3)</f>
        <v>Anchor Medical Associates2017-Q2</v>
      </c>
      <c r="B3" s="19" t="s">
        <v>84</v>
      </c>
      <c r="C3" s="19" t="s">
        <v>29</v>
      </c>
      <c r="D3" s="39">
        <v>1</v>
      </c>
      <c r="E3" s="19" t="s">
        <v>27</v>
      </c>
      <c r="F3" s="19" t="s">
        <v>55</v>
      </c>
      <c r="G3" s="14">
        <v>76</v>
      </c>
      <c r="H3" s="14">
        <v>85</v>
      </c>
      <c r="I3" s="14" t="str">
        <f>IF((H3&gt;=G3),"yes",IF(H3&gt;=(G3*0.9),"within 10%","no"))</f>
        <v>yes</v>
      </c>
      <c r="J3" s="14" t="str">
        <f>IF($F3='Contract Adjudication Notes'!$D$2,IF($D3='Contract Adjudication Notes'!$D$6,"Start up",IFERROR(VLOOKUP($B3&amp;'Contract Adjudication Notes'!$D$3,$A$2:$P$67,8,FALSE),"NA")),"")</f>
        <v/>
      </c>
      <c r="K3" s="14" t="str">
        <f>IF(AND($F3='Contract Adjudication Notes'!$D$2,NOT($D3='Contract Adjudication Notes'!$D$6),OR(I3="no",I3="within 10%")),IF(((H3-J3)&gt;=5),IF(H3&gt;=(J3+((G3-J3)/2)),"yes","no"),"no")," ")</f>
        <v xml:space="preserve"> </v>
      </c>
      <c r="L3" s="14">
        <v>75</v>
      </c>
      <c r="M3" s="14">
        <v>45</v>
      </c>
      <c r="N3" s="14" t="str">
        <f>IF((M3&gt;=L3),"yes",IF(M3&gt;=(L3*0.9),"within 10%","no"))</f>
        <v>no</v>
      </c>
      <c r="O3" s="14" t="str">
        <f>IF($F3='Contract Adjudication Notes'!$D$2,IF($D3='Contract Adjudication Notes'!$D$6,"Start up",IFERROR(VLOOKUP($B3&amp;'Contract Adjudication Notes'!$D$3,$A$2:$P$67,13,FALSE),"NA")),"")</f>
        <v/>
      </c>
      <c r="P3" s="14" t="str">
        <f>IF(AND($F3='Contract Adjudication Notes'!$D$2,OR(N3="no",N3="within 10%"),NOT($D3='Contract Adjudication Notes'!$D$6)),IF(((M3-O3)&gt;=5),IF(M3&gt;=(O3+((L3-O3)/2)),"yes","no"),"no")," ")</f>
        <v xml:space="preserve"> </v>
      </c>
      <c r="Q3" s="16" t="str">
        <f>IF($F3='Contract Adjudication Notes'!$D$2,COUNTIF(I3:P3, "yes"),"")</f>
        <v/>
      </c>
    </row>
    <row r="4" spans="1:17" x14ac:dyDescent="0.25">
      <c r="A4" s="1" t="str">
        <f>_xlfn.CONCAT(B4,F4)</f>
        <v>Anchor Medical Associates2017-Q3</v>
      </c>
      <c r="B4" s="19" t="s">
        <v>84</v>
      </c>
      <c r="C4" s="19" t="s">
        <v>29</v>
      </c>
      <c r="D4" s="39">
        <v>1</v>
      </c>
      <c r="E4" s="19" t="s">
        <v>27</v>
      </c>
      <c r="F4" s="19" t="s">
        <v>56</v>
      </c>
      <c r="G4" s="14">
        <v>76</v>
      </c>
      <c r="H4" s="14">
        <v>81</v>
      </c>
      <c r="I4" s="14" t="str">
        <f>IF((H4&gt;=G4),"yes",IF(H4&gt;=(G4*0.9),"within 10%","no"))</f>
        <v>yes</v>
      </c>
      <c r="J4" s="14" t="str">
        <f>IF($F4='Contract Adjudication Notes'!$D$2,IF($D4='Contract Adjudication Notes'!$D$6,"Start up",IFERROR(VLOOKUP($B4&amp;'Contract Adjudication Notes'!$D$3,$A$2:$P$67,8,FALSE),"NA")),"")</f>
        <v/>
      </c>
      <c r="K4" s="14" t="str">
        <f>IF(AND($F4='Contract Adjudication Notes'!$D$2,NOT($D4='Contract Adjudication Notes'!$D$6),OR(I4="no",I4="within 10%")),IF(((H4-J4)&gt;=5),IF(H4&gt;=(J4+((G4-J4)/2)),"yes","no"),"no")," ")</f>
        <v xml:space="preserve"> </v>
      </c>
      <c r="L4" s="14">
        <v>75</v>
      </c>
      <c r="M4" s="14">
        <v>56</v>
      </c>
      <c r="N4" s="14" t="str">
        <f>IF((M4&gt;=L4),"yes",IF(M4&gt;=(L4*0.9),"within 10%","no"))</f>
        <v>no</v>
      </c>
      <c r="O4" s="14" t="str">
        <f>IF($F4='Contract Adjudication Notes'!$D$2,IF($D4='Contract Adjudication Notes'!$D$6,"Start up",IFERROR(VLOOKUP($B4&amp;'Contract Adjudication Notes'!$D$3,$A$2:$P$67,13,FALSE),"NA")),"")</f>
        <v/>
      </c>
      <c r="P4" s="14" t="str">
        <f>IF(AND($F4='Contract Adjudication Notes'!$D$2,OR(N4="no",N4="within 10%"),NOT($D4='Contract Adjudication Notes'!$D$6)),IF(((M4-O4)&gt;=5),IF(M4&gt;=(O4+((L4-O4)/2)),"yes","no"),"no")," ")</f>
        <v xml:space="preserve"> </v>
      </c>
      <c r="Q4" s="16" t="str">
        <f>IF($F4='Contract Adjudication Notes'!$D$2,COUNTIF(I4:P4, "yes"),"")</f>
        <v/>
      </c>
    </row>
    <row r="5" spans="1:17" x14ac:dyDescent="0.25">
      <c r="A5" s="1" t="str">
        <f>_xlfn.CONCAT(B5,F5)</f>
        <v>Anchor Medical Associates2017-Q4</v>
      </c>
      <c r="B5" s="19" t="s">
        <v>84</v>
      </c>
      <c r="C5" s="19" t="s">
        <v>29</v>
      </c>
      <c r="D5" s="39">
        <v>1</v>
      </c>
      <c r="E5" s="19" t="s">
        <v>27</v>
      </c>
      <c r="F5" s="19" t="s">
        <v>57</v>
      </c>
      <c r="G5" s="14">
        <v>76</v>
      </c>
      <c r="H5" s="14">
        <v>85.4</v>
      </c>
      <c r="I5" s="14" t="str">
        <f>IF((H5&gt;=G5),"yes",IF(H5&gt;=(G5*0.9),"within 10%","no"))</f>
        <v>yes</v>
      </c>
      <c r="J5" s="14" t="str">
        <f>IF($F5='Contract Adjudication Notes'!$D$2,IF($D5='Contract Adjudication Notes'!$D$6,"Start up",IFERROR(VLOOKUP($B5&amp;'Contract Adjudication Notes'!$D$3,$A$2:$P$67,8,FALSE),"NA")),"")</f>
        <v/>
      </c>
      <c r="K5" s="14" t="str">
        <f>IF(AND($F5='Contract Adjudication Notes'!$D$2,NOT($D5='Contract Adjudication Notes'!$D$6),OR(I5="no",I5="within 10%")),IF(((H5-J5)&gt;=5),IF(H5&gt;=(J5+((G5-J5)/2)),"yes","no"),"no")," ")</f>
        <v xml:space="preserve"> </v>
      </c>
      <c r="L5" s="14">
        <v>75</v>
      </c>
      <c r="M5" s="14">
        <v>56.14</v>
      </c>
      <c r="N5" s="14" t="str">
        <f>IF((M5&gt;=L5),"yes",IF(M5&gt;=(L5*0.9),"within 10%","no"))</f>
        <v>no</v>
      </c>
      <c r="O5" s="14" t="str">
        <f>IF($F5='Contract Adjudication Notes'!$D$2,IF($D5='Contract Adjudication Notes'!$D$6,"Start up",IFERROR(VLOOKUP($B5&amp;'Contract Adjudication Notes'!$D$3,$A$2:$P$67,13,FALSE),"NA")),"")</f>
        <v/>
      </c>
      <c r="P5" s="14" t="str">
        <f>IF(AND($F5='Contract Adjudication Notes'!$D$2,OR(N5="no",N5="within 10%"),NOT($D5='Contract Adjudication Notes'!$D$6)),IF(((M5-O5)&gt;=5),IF(M5&gt;=(O5+((L5-O5)/2)),"yes","no"),"no")," ")</f>
        <v xml:space="preserve"> </v>
      </c>
      <c r="Q5" s="16" t="str">
        <f>IF($F5='Contract Adjudication Notes'!$D$2,COUNTIF(I5:P5, "yes"),"")</f>
        <v/>
      </c>
    </row>
    <row r="6" spans="1:17" x14ac:dyDescent="0.25">
      <c r="A6" s="1" t="str">
        <f>_xlfn.CONCAT(B6,F6)</f>
        <v>Anchor Medical Associates2018-Q1</v>
      </c>
      <c r="B6" s="19" t="s">
        <v>84</v>
      </c>
      <c r="C6" s="19" t="s">
        <v>29</v>
      </c>
      <c r="D6" s="39">
        <v>1</v>
      </c>
      <c r="E6" s="19" t="s">
        <v>27</v>
      </c>
      <c r="F6" s="19" t="s">
        <v>58</v>
      </c>
      <c r="G6" s="14">
        <v>76</v>
      </c>
      <c r="H6" s="14">
        <v>87.84</v>
      </c>
      <c r="I6" s="14" t="str">
        <f>IF((H6&gt;=G6),"yes",IF(H6&gt;=(G6*0.9),"within 10%","no"))</f>
        <v>yes</v>
      </c>
      <c r="J6" s="14">
        <f>IF($F6='Contract Adjudication Notes'!$D$2,IF($D6='Contract Adjudication Notes'!$D$6,"Start up",IFERROR(VLOOKUP($B6&amp;'Contract Adjudication Notes'!$D$3,$A$2:$P$67,8,FALSE),"NA")),"")</f>
        <v>84</v>
      </c>
      <c r="K6" s="14" t="str">
        <f>IF(AND($F6='Contract Adjudication Notes'!$D$2,NOT($D6='Contract Adjudication Notes'!$D$6),OR(I6="no",I6="within 10%")),IF(((H6-J6)&gt;=5),IF(H6&gt;=(J6+((G6-J6)/2)),"yes","no"),"no")," ")</f>
        <v xml:space="preserve"> </v>
      </c>
      <c r="L6" s="14">
        <v>75</v>
      </c>
      <c r="M6" s="14">
        <v>57.7</v>
      </c>
      <c r="N6" s="14" t="str">
        <f>IF((M6&gt;=L6),"yes",IF(M6&gt;=(L6*0.9),"within 10%","no"))</f>
        <v>no</v>
      </c>
      <c r="O6" s="14">
        <f>IF($F6='Contract Adjudication Notes'!$D$2,IF($D6='Contract Adjudication Notes'!$D$6,"Start up",IFERROR(VLOOKUP($B6&amp;'Contract Adjudication Notes'!$D$3,$A$2:$P$67,13,FALSE),"NA")),"")</f>
        <v>34</v>
      </c>
      <c r="P6" s="14" t="str">
        <f>IF(AND($F6='Contract Adjudication Notes'!$D$2,OR(N6="no",N6="within 10%"),NOT($D6='Contract Adjudication Notes'!$D$6)),IF(((M6-O6)&gt;=5),IF(M6&gt;=(O6+((L6-O6)/2)),"yes","no"),"no")," ")</f>
        <v>yes</v>
      </c>
      <c r="Q6" s="16">
        <f>IF($F6='Contract Adjudication Notes'!$D$2,COUNTIF(I6:P6, "yes"),"")</f>
        <v>2</v>
      </c>
    </row>
    <row r="7" spans="1:17" ht="30" x14ac:dyDescent="0.25">
      <c r="A7" s="4" t="str">
        <f>_xlfn.CONCAT(B7,F7)</f>
        <v>Coastal Narragansett Bay Pediatrics2017-Q1</v>
      </c>
      <c r="B7" s="19" t="s">
        <v>105</v>
      </c>
      <c r="C7" s="19" t="s">
        <v>20</v>
      </c>
      <c r="D7" s="39">
        <v>1</v>
      </c>
      <c r="E7" s="19" t="s">
        <v>27</v>
      </c>
      <c r="F7" s="19" t="s">
        <v>54</v>
      </c>
      <c r="G7" s="14">
        <v>76</v>
      </c>
      <c r="H7" s="14">
        <v>98</v>
      </c>
      <c r="I7" s="14" t="str">
        <f>IF((H7&gt;=G7),"yes",IF(H7&gt;=(G7*0.9),"within 10%","no"))</f>
        <v>yes</v>
      </c>
      <c r="J7" s="14" t="str">
        <f>IF($F7='Contract Adjudication Notes'!$D$2,IF($D7='Contract Adjudication Notes'!$D$6,"Start up",IFERROR(VLOOKUP($B7&amp;'Contract Adjudication Notes'!$D$3,$A$2:$P$67,8,FALSE),"NA")),"")</f>
        <v/>
      </c>
      <c r="K7" s="14" t="str">
        <f>IF(AND($F7='Contract Adjudication Notes'!$D$2,NOT($D7='Contract Adjudication Notes'!$D$6),OR(I7="no",I7="within 10%")),IF(((H7-J7)&gt;=5),IF(H7&gt;=(J7+((G7-J7)/2)),"yes","no"),"no")," ")</f>
        <v xml:space="preserve"> </v>
      </c>
      <c r="L7" s="14">
        <v>75</v>
      </c>
      <c r="M7" s="14">
        <v>25</v>
      </c>
      <c r="N7" s="14" t="str">
        <f>IF((M7&gt;=L7),"yes",IF(M7&gt;=(L7*0.9),"within 10%","no"))</f>
        <v>no</v>
      </c>
      <c r="O7" s="14" t="str">
        <f>IF($F7='Contract Adjudication Notes'!$D$2,IF($D7='Contract Adjudication Notes'!$D$6,"Start up",IFERROR(VLOOKUP($B7&amp;'Contract Adjudication Notes'!$D$3,$A$2:$P$67,13,FALSE),"NA")),"")</f>
        <v/>
      </c>
      <c r="P7" s="14" t="str">
        <f>IF(AND($F7='Contract Adjudication Notes'!$D$2,OR(N7="no",N7="within 10%"),NOT($D7='Contract Adjudication Notes'!$D$6)),IF(((M7-O7)&gt;=5),IF(M7&gt;=(O7+((L7-O7)/2)),"yes","no"),"no")," ")</f>
        <v xml:space="preserve"> </v>
      </c>
      <c r="Q7" s="16" t="str">
        <f>IF($F7='Contract Adjudication Notes'!$D$2,COUNTIF(I7:P7, "yes"),"")</f>
        <v/>
      </c>
    </row>
    <row r="8" spans="1:17" x14ac:dyDescent="0.25">
      <c r="A8" s="1" t="str">
        <f>_xlfn.CONCAT(B8,F8)</f>
        <v>Coastal Narragansett Bay Pediatrics2017-Q2</v>
      </c>
      <c r="B8" s="19" t="s">
        <v>105</v>
      </c>
      <c r="C8" s="19" t="s">
        <v>20</v>
      </c>
      <c r="D8" s="39">
        <v>1</v>
      </c>
      <c r="E8" s="19" t="s">
        <v>27</v>
      </c>
      <c r="F8" s="19" t="s">
        <v>55</v>
      </c>
      <c r="G8" s="14">
        <v>76</v>
      </c>
      <c r="H8" s="14">
        <v>98</v>
      </c>
      <c r="I8" s="14" t="str">
        <f>IF((H8&gt;=G8),"yes",IF(H8&gt;=(G8*0.9),"within 10%","no"))</f>
        <v>yes</v>
      </c>
      <c r="J8" s="14" t="str">
        <f>IF($F8='Contract Adjudication Notes'!$D$2,IF($D8='Contract Adjudication Notes'!$D$6,"Start up",IFERROR(VLOOKUP($B8&amp;'Contract Adjudication Notes'!$D$3,$A$2:$P$67,8,FALSE),"NA")),"")</f>
        <v/>
      </c>
      <c r="K8" s="14" t="str">
        <f>IF(AND($F8='Contract Adjudication Notes'!$D$2,NOT($D8='Contract Adjudication Notes'!$D$6),OR(I8="no",I8="within 10%")),IF(((H8-J8)&gt;=5),IF(H8&gt;=(J8+((G8-J8)/2)),"yes","no"),"no")," ")</f>
        <v xml:space="preserve"> </v>
      </c>
      <c r="L8" s="14">
        <v>75</v>
      </c>
      <c r="M8" s="14">
        <v>43</v>
      </c>
      <c r="N8" s="14" t="str">
        <f>IF((M8&gt;=L8),"yes",IF(M8&gt;=(L8*0.9),"within 10%","no"))</f>
        <v>no</v>
      </c>
      <c r="O8" s="14" t="str">
        <f>IF($F8='Contract Adjudication Notes'!$D$2,IF($D8='Contract Adjudication Notes'!$D$6,"Start up",IFERROR(VLOOKUP($B8&amp;'Contract Adjudication Notes'!$D$3,$A$2:$P$67,13,FALSE),"NA")),"")</f>
        <v/>
      </c>
      <c r="P8" s="14" t="str">
        <f>IF(AND($F8='Contract Adjudication Notes'!$D$2,OR(N8="no",N8="within 10%"),NOT($D8='Contract Adjudication Notes'!$D$6)),IF(((M8-O8)&gt;=5),IF(M8&gt;=(O8+((L8-O8)/2)),"yes","no"),"no")," ")</f>
        <v xml:space="preserve"> </v>
      </c>
      <c r="Q8" s="16" t="str">
        <f>IF($F8='Contract Adjudication Notes'!$D$2,COUNTIF(I8:P8, "yes"),"")</f>
        <v/>
      </c>
    </row>
    <row r="9" spans="1:17" s="8" customFormat="1" x14ac:dyDescent="0.25">
      <c r="A9" s="16" t="str">
        <f>_xlfn.CONCAT(B9,F9)</f>
        <v>Coastal Narragansett Bay Pediatrics2017-Q3</v>
      </c>
      <c r="B9" s="19" t="s">
        <v>105</v>
      </c>
      <c r="C9" s="19" t="s">
        <v>20</v>
      </c>
      <c r="D9" s="39">
        <v>1</v>
      </c>
      <c r="E9" s="19" t="s">
        <v>27</v>
      </c>
      <c r="F9" s="19" t="s">
        <v>56</v>
      </c>
      <c r="G9" s="14">
        <v>76</v>
      </c>
      <c r="H9" s="14">
        <v>98</v>
      </c>
      <c r="I9" s="14" t="str">
        <f>IF((H9&gt;=G9),"yes",IF(H9&gt;=(G9*0.9),"within 10%","no"))</f>
        <v>yes</v>
      </c>
      <c r="J9" s="14" t="str">
        <f>IF($F9='Contract Adjudication Notes'!$D$2,IF($D9='Contract Adjudication Notes'!$D$6,"Start up",IFERROR(VLOOKUP($B9&amp;'Contract Adjudication Notes'!$D$3,$A$2:$P$67,8,FALSE),"NA")),"")</f>
        <v/>
      </c>
      <c r="K9" s="14" t="str">
        <f>IF(AND($F9='Contract Adjudication Notes'!$D$2,NOT($D9='Contract Adjudication Notes'!$D$6),OR(I9="no",I9="within 10%")),IF(((H9-J9)&gt;=5),IF(H9&gt;=(J9+((G9-J9)/2)),"yes","no"),"no")," ")</f>
        <v xml:space="preserve"> </v>
      </c>
      <c r="L9" s="14">
        <v>75</v>
      </c>
      <c r="M9" s="14">
        <v>64</v>
      </c>
      <c r="N9" s="14" t="str">
        <f>IF((M9&gt;=L9),"yes",IF(M9&gt;=(L9*0.9),"within 10%","no"))</f>
        <v>no</v>
      </c>
      <c r="O9" s="14" t="str">
        <f>IF($F9='Contract Adjudication Notes'!$D$2,IF($D9='Contract Adjudication Notes'!$D$6,"Start up",IFERROR(VLOOKUP($B9&amp;'Contract Adjudication Notes'!$D$3,$A$2:$P$67,13,FALSE),"NA")),"")</f>
        <v/>
      </c>
      <c r="P9" s="14" t="str">
        <f>IF(AND($F9='Contract Adjudication Notes'!$D$2,OR(N9="no",N9="within 10%"),NOT($D9='Contract Adjudication Notes'!$D$6)),IF(((M9-O9)&gt;=5),IF(M9&gt;=(O9+((L9-O9)/2)),"yes","no"),"no")," ")</f>
        <v xml:space="preserve"> </v>
      </c>
      <c r="Q9" s="16" t="str">
        <f>IF($F9='Contract Adjudication Notes'!$D$2,COUNTIF(I9:P9, "yes"),"")</f>
        <v/>
      </c>
    </row>
    <row r="10" spans="1:17" ht="30" x14ac:dyDescent="0.25">
      <c r="A10" s="4" t="str">
        <f>_xlfn.CONCAT(B10,F10)</f>
        <v>Coastal Narragansett Bay Pediatrics2017-Q4</v>
      </c>
      <c r="B10" s="19" t="s">
        <v>105</v>
      </c>
      <c r="C10" s="19" t="s">
        <v>20</v>
      </c>
      <c r="D10" s="39">
        <v>1</v>
      </c>
      <c r="E10" s="19" t="s">
        <v>27</v>
      </c>
      <c r="F10" s="19" t="s">
        <v>57</v>
      </c>
      <c r="G10" s="14">
        <v>76</v>
      </c>
      <c r="H10" s="14">
        <v>98.48</v>
      </c>
      <c r="I10" s="14" t="str">
        <f>IF((H10&gt;=G10),"yes",IF(H10&gt;=(G10*0.9),"within 10%","no"))</f>
        <v>yes</v>
      </c>
      <c r="J10" s="14" t="str">
        <f>IF($F10='Contract Adjudication Notes'!$D$2,IF($D10='Contract Adjudication Notes'!$D$6,"Start up",IFERROR(VLOOKUP($B10&amp;'Contract Adjudication Notes'!$D$3,$A$2:$P$67,8,FALSE),"NA")),"")</f>
        <v/>
      </c>
      <c r="K10" s="14" t="str">
        <f>IF(AND($F10='Contract Adjudication Notes'!$D$2,NOT($D10='Contract Adjudication Notes'!$D$6),OR(I10="no",I10="within 10%")),IF(((H10-J10)&gt;=5),IF(H10&gt;=(J10+((G10-J10)/2)),"yes","no"),"no")," ")</f>
        <v xml:space="preserve"> </v>
      </c>
      <c r="L10" s="14">
        <v>75</v>
      </c>
      <c r="M10" s="14">
        <v>78.3</v>
      </c>
      <c r="N10" s="14" t="str">
        <f>IF((M10&gt;=L10),"yes",IF(M10&gt;=(L10*0.9),"within 10%","no"))</f>
        <v>yes</v>
      </c>
      <c r="O10" s="14" t="str">
        <f>IF($F10='Contract Adjudication Notes'!$D$2,IF($D10='Contract Adjudication Notes'!$D$6,"Start up",IFERROR(VLOOKUP($B10&amp;'Contract Adjudication Notes'!$D$3,$A$2:$P$67,13,FALSE),"NA")),"")</f>
        <v/>
      </c>
      <c r="P10" s="14" t="str">
        <f>IF(AND($F10='Contract Adjudication Notes'!$D$2,OR(N10="no",N10="within 10%"),NOT($D10='Contract Adjudication Notes'!$D$6)),IF(((M10-O10)&gt;=5),IF(M10&gt;=(O10+((L10-O10)/2)),"yes","no"),"no")," ")</f>
        <v xml:space="preserve"> </v>
      </c>
      <c r="Q10" s="16" t="str">
        <f>IF($F10='Contract Adjudication Notes'!$D$2,COUNTIF(I10:P10, "yes"),"")</f>
        <v/>
      </c>
    </row>
    <row r="11" spans="1:17" x14ac:dyDescent="0.25">
      <c r="A11" s="16" t="str">
        <f>_xlfn.CONCAT(B11,F11)</f>
        <v>Coastal Narragansett Bay Pediatrics2018-Q1</v>
      </c>
      <c r="B11" s="19" t="s">
        <v>105</v>
      </c>
      <c r="C11" s="19" t="s">
        <v>20</v>
      </c>
      <c r="D11" s="39">
        <v>1</v>
      </c>
      <c r="E11" s="19" t="s">
        <v>18</v>
      </c>
      <c r="F11" s="19" t="s">
        <v>58</v>
      </c>
      <c r="G11" s="14">
        <v>76</v>
      </c>
      <c r="H11" s="14">
        <v>98.39</v>
      </c>
      <c r="I11" s="14" t="str">
        <f>IF((H11&gt;=G11),"yes",IF(H11&gt;=(G11*0.9),"within 10%","no"))</f>
        <v>yes</v>
      </c>
      <c r="J11" s="14">
        <f>IF($F11='Contract Adjudication Notes'!$D$2,IF($D11='Contract Adjudication Notes'!$D$6,"Start up",IFERROR(VLOOKUP($B11&amp;'Contract Adjudication Notes'!$D$3,$A$2:$P$67,8,FALSE),"NA")),"")</f>
        <v>98</v>
      </c>
      <c r="K11" s="14" t="str">
        <f>IF(AND($F11='Contract Adjudication Notes'!$D$2,NOT($D11='Contract Adjudication Notes'!$D$6),OR(I11="no",I11="within 10%")),IF(((H11-J11)&gt;=5),IF(H11&gt;=(J11+((G11-J11)/2)),"yes","no"),"no")," ")</f>
        <v xml:space="preserve"> </v>
      </c>
      <c r="L11" s="14">
        <v>75</v>
      </c>
      <c r="M11" s="14">
        <v>82.69</v>
      </c>
      <c r="N11" s="14" t="str">
        <f>IF((M11&gt;=L11),"yes",IF(M11&gt;=(L11*0.9),"within 10%","no"))</f>
        <v>yes</v>
      </c>
      <c r="O11" s="14">
        <f>IF($F11='Contract Adjudication Notes'!$D$2,IF($D11='Contract Adjudication Notes'!$D$6,"Start up",IFERROR(VLOOKUP($B11&amp;'Contract Adjudication Notes'!$D$3,$A$2:$P$67,13,FALSE),"NA")),"")</f>
        <v>25</v>
      </c>
      <c r="P11" s="14" t="str">
        <f>IF(AND($F11='Contract Adjudication Notes'!$D$2,OR(N11="no",N11="within 10%"),NOT($D11='Contract Adjudication Notes'!$D$6)),IF(((M11-O11)&gt;=5),IF(M11&gt;=(O11+((L11-O11)/2)),"yes","no"),"no")," ")</f>
        <v xml:space="preserve"> </v>
      </c>
      <c r="Q11" s="16">
        <f>IF($F11='Contract Adjudication Notes'!$D$2,COUNTIF(I11:P11, "yes"),"")</f>
        <v>2</v>
      </c>
    </row>
    <row r="12" spans="1:17" x14ac:dyDescent="0.25">
      <c r="A12" s="1" t="str">
        <f>_xlfn.CONCAT(B12,F12)</f>
        <v>Coastal Waterman Pediatrics2017-Q1</v>
      </c>
      <c r="B12" s="19" t="s">
        <v>103</v>
      </c>
      <c r="C12" s="19" t="s">
        <v>20</v>
      </c>
      <c r="D12" s="39">
        <v>1</v>
      </c>
      <c r="E12" s="19" t="s">
        <v>27</v>
      </c>
      <c r="F12" s="19" t="s">
        <v>54</v>
      </c>
      <c r="G12" s="14">
        <v>76</v>
      </c>
      <c r="H12" s="14">
        <v>96</v>
      </c>
      <c r="I12" s="14" t="str">
        <f>IF((H12&gt;=G12),"yes",IF(H12&gt;=(G12*0.9),"within 10%","no"))</f>
        <v>yes</v>
      </c>
      <c r="J12" s="14" t="str">
        <f>IF($F12='Contract Adjudication Notes'!$D$2,IF($D12='Contract Adjudication Notes'!$D$6,"Start up",IFERROR(VLOOKUP($B12&amp;'Contract Adjudication Notes'!$D$3,$A$2:$P$67,8,FALSE),"NA")),"")</f>
        <v/>
      </c>
      <c r="K12" s="14" t="str">
        <f>IF(AND($F12='Contract Adjudication Notes'!$D$2,NOT($D12='Contract Adjudication Notes'!$D$6),OR(I12="no",I12="within 10%")),IF(((H12-J12)&gt;=5),IF(H12&gt;=(J12+((G12-J12)/2)),"yes","no"),"no")," ")</f>
        <v xml:space="preserve"> </v>
      </c>
      <c r="L12" s="14">
        <v>75</v>
      </c>
      <c r="M12" s="14">
        <v>72</v>
      </c>
      <c r="N12" s="14" t="str">
        <f>IF((M12&gt;=L12),"yes",IF(M12&gt;=(L12*0.9),"within 10%","no"))</f>
        <v>within 10%</v>
      </c>
      <c r="O12" s="14" t="str">
        <f>IF($F12='Contract Adjudication Notes'!$D$2,IF($D12='Contract Adjudication Notes'!$D$6,"Start up",IFERROR(VLOOKUP($B12&amp;'Contract Adjudication Notes'!$D$3,$A$2:$P$67,13,FALSE),"NA")),"")</f>
        <v/>
      </c>
      <c r="P12" s="14" t="str">
        <f>IF(AND($F12='Contract Adjudication Notes'!$D$2,OR(N12="no",N12="within 10%"),NOT($D12='Contract Adjudication Notes'!$D$6)),IF(((M12-O12)&gt;=5),IF(M12&gt;=(O12+((L12-O12)/2)),"yes","no"),"no")," ")</f>
        <v xml:space="preserve"> </v>
      </c>
      <c r="Q12" s="16" t="str">
        <f>IF($F12='Contract Adjudication Notes'!$D$2,COUNTIF(I12:P12, "yes"),"")</f>
        <v/>
      </c>
    </row>
    <row r="13" spans="1:17" x14ac:dyDescent="0.25">
      <c r="A13" s="1" t="str">
        <f>_xlfn.CONCAT(B13,F13)</f>
        <v>Coastal Waterman Pediatrics2017-Q2</v>
      </c>
      <c r="B13" s="19" t="s">
        <v>103</v>
      </c>
      <c r="C13" s="19" t="s">
        <v>20</v>
      </c>
      <c r="D13" s="39">
        <v>1</v>
      </c>
      <c r="E13" s="19" t="s">
        <v>27</v>
      </c>
      <c r="F13" s="19" t="s">
        <v>55</v>
      </c>
      <c r="G13" s="14">
        <v>76</v>
      </c>
      <c r="H13" s="14">
        <v>97</v>
      </c>
      <c r="I13" s="14" t="str">
        <f>IF((H13&gt;=G13),"yes",IF(H13&gt;=(G13*0.9),"within 10%","no"))</f>
        <v>yes</v>
      </c>
      <c r="J13" s="14" t="str">
        <f>IF($F13='Contract Adjudication Notes'!$D$2,IF($D13='Contract Adjudication Notes'!$D$6,"Start up",IFERROR(VLOOKUP($B13&amp;'Contract Adjudication Notes'!$D$3,$A$2:$P$67,8,FALSE),"NA")),"")</f>
        <v/>
      </c>
      <c r="K13" s="14" t="str">
        <f>IF(AND($F13='Contract Adjudication Notes'!$D$2,NOT($D13='Contract Adjudication Notes'!$D$6),OR(I13="no",I13="within 10%")),IF(((H13-J13)&gt;=5),IF(H13&gt;=(J13+((G13-J13)/2)),"yes","no"),"no")," ")</f>
        <v xml:space="preserve"> </v>
      </c>
      <c r="L13" s="14">
        <v>75</v>
      </c>
      <c r="M13" s="14">
        <v>74</v>
      </c>
      <c r="N13" s="14" t="str">
        <f>IF((M13&gt;=L13),"yes",IF(M13&gt;=(L13*0.9),"within 10%","no"))</f>
        <v>within 10%</v>
      </c>
      <c r="O13" s="14" t="str">
        <f>IF($F13='Contract Adjudication Notes'!$D$2,IF($D13='Contract Adjudication Notes'!$D$6,"Start up",IFERROR(VLOOKUP($B13&amp;'Contract Adjudication Notes'!$D$3,$A$2:$P$67,13,FALSE),"NA")),"")</f>
        <v/>
      </c>
      <c r="P13" s="14" t="str">
        <f>IF(AND($F13='Contract Adjudication Notes'!$D$2,OR(N13="no",N13="within 10%"),NOT($D13='Contract Adjudication Notes'!$D$6)),IF(((M13-O13)&gt;=5),IF(M13&gt;=(O13+((L13-O13)/2)),"yes","no"),"no")," ")</f>
        <v xml:space="preserve"> </v>
      </c>
      <c r="Q13" s="16" t="str">
        <f>IF($F13='Contract Adjudication Notes'!$D$2,COUNTIF(I13:P13, "yes"),"")</f>
        <v/>
      </c>
    </row>
    <row r="14" spans="1:17" x14ac:dyDescent="0.25">
      <c r="A14" s="4" t="str">
        <f>_xlfn.CONCAT(B14,F14)</f>
        <v>Coastal Waterman Pediatrics2017-Q3</v>
      </c>
      <c r="B14" s="19" t="s">
        <v>103</v>
      </c>
      <c r="C14" s="19" t="s">
        <v>20</v>
      </c>
      <c r="D14" s="39">
        <v>1</v>
      </c>
      <c r="E14" s="19" t="s">
        <v>27</v>
      </c>
      <c r="F14" s="19" t="s">
        <v>56</v>
      </c>
      <c r="G14" s="14">
        <v>76</v>
      </c>
      <c r="H14" s="14">
        <v>97</v>
      </c>
      <c r="I14" s="14" t="str">
        <f>IF((H14&gt;=G14),"yes",IF(H14&gt;=(G14*0.9),"within 10%","no"))</f>
        <v>yes</v>
      </c>
      <c r="J14" s="14" t="str">
        <f>IF($F14='Contract Adjudication Notes'!$D$2,IF($D14='Contract Adjudication Notes'!$D$6,"Start up",IFERROR(VLOOKUP($B14&amp;'Contract Adjudication Notes'!$D$3,$A$2:$P$67,8,FALSE),"NA")),"")</f>
        <v/>
      </c>
      <c r="K14" s="14" t="str">
        <f>IF(AND($F14='Contract Adjudication Notes'!$D$2,NOT($D14='Contract Adjudication Notes'!$D$6),OR(I14="no",I14="within 10%")),IF(((H14-J14)&gt;=5),IF(H14&gt;=(J14+((G14-J14)/2)),"yes","no"),"no")," ")</f>
        <v xml:space="preserve"> </v>
      </c>
      <c r="L14" s="14">
        <v>75</v>
      </c>
      <c r="M14" s="14">
        <v>80</v>
      </c>
      <c r="N14" s="14" t="str">
        <f>IF((M14&gt;=L14),"yes",IF(M14&gt;=(L14*0.9),"within 10%","no"))</f>
        <v>yes</v>
      </c>
      <c r="O14" s="14" t="str">
        <f>IF($F14='Contract Adjudication Notes'!$D$2,IF($D14='Contract Adjudication Notes'!$D$6,"Start up",IFERROR(VLOOKUP($B14&amp;'Contract Adjudication Notes'!$D$3,$A$2:$P$67,13,FALSE),"NA")),"")</f>
        <v/>
      </c>
      <c r="P14" s="14" t="str">
        <f>IF(AND($F14='Contract Adjudication Notes'!$D$2,OR(N14="no",N14="within 10%"),NOT($D14='Contract Adjudication Notes'!$D$6)),IF(((M14-O14)&gt;=5),IF(M14&gt;=(O14+((L14-O14)/2)),"yes","no"),"no")," ")</f>
        <v xml:space="preserve"> </v>
      </c>
      <c r="Q14" s="16" t="str">
        <f>IF($F14='Contract Adjudication Notes'!$D$2,COUNTIF(I14:P14, "yes"),"")</f>
        <v/>
      </c>
    </row>
    <row r="15" spans="1:17" x14ac:dyDescent="0.25">
      <c r="A15" s="1" t="str">
        <f>_xlfn.CONCAT(B15,F15)</f>
        <v>Coastal Waterman Pediatrics2017-Q4</v>
      </c>
      <c r="B15" s="19" t="s">
        <v>103</v>
      </c>
      <c r="C15" s="19" t="s">
        <v>20</v>
      </c>
      <c r="D15" s="39">
        <v>1</v>
      </c>
      <c r="E15" s="19" t="s">
        <v>27</v>
      </c>
      <c r="F15" s="19" t="s">
        <v>57</v>
      </c>
      <c r="G15" s="14">
        <v>76</v>
      </c>
      <c r="H15" s="14">
        <v>97.89</v>
      </c>
      <c r="I15" s="14" t="str">
        <f>IF((H15&gt;=G15),"yes",IF(H15&gt;=(G15*0.9),"within 10%","no"))</f>
        <v>yes</v>
      </c>
      <c r="J15" s="14" t="str">
        <f>IF($F15='Contract Adjudication Notes'!$D$2,IF($D15='Contract Adjudication Notes'!$D$6,"Start up",IFERROR(VLOOKUP($B15&amp;'Contract Adjudication Notes'!$D$3,$A$2:$P$67,8,FALSE),"NA")),"")</f>
        <v/>
      </c>
      <c r="K15" s="14" t="str">
        <f>IF(AND($F15='Contract Adjudication Notes'!$D$2,NOT($D15='Contract Adjudication Notes'!$D$6),OR(I15="no",I15="within 10%")),IF(((H15-J15)&gt;=5),IF(H15&gt;=(J15+((G15-J15)/2)),"yes","no"),"no")," ")</f>
        <v xml:space="preserve"> </v>
      </c>
      <c r="L15" s="14">
        <v>75</v>
      </c>
      <c r="M15" s="14">
        <v>83.47</v>
      </c>
      <c r="N15" s="14" t="str">
        <f>IF((M15&gt;=L15),"yes",IF(M15&gt;=(L15*0.9),"within 10%","no"))</f>
        <v>yes</v>
      </c>
      <c r="O15" s="14" t="str">
        <f>IF($F15='Contract Adjudication Notes'!$D$2,IF($D15='Contract Adjudication Notes'!$D$6,"Start up",IFERROR(VLOOKUP($B15&amp;'Contract Adjudication Notes'!$D$3,$A$2:$P$67,13,FALSE),"NA")),"")</f>
        <v/>
      </c>
      <c r="P15" s="14" t="str">
        <f>IF(AND($F15='Contract Adjudication Notes'!$D$2,OR(N15="no",N15="within 10%"),NOT($D15='Contract Adjudication Notes'!$D$6)),IF(((M15-O15)&gt;=5),IF(M15&gt;=(O15+((L15-O15)/2)),"yes","no"),"no")," ")</f>
        <v xml:space="preserve"> </v>
      </c>
      <c r="Q15" s="16" t="str">
        <f>IF($F15='Contract Adjudication Notes'!$D$2,COUNTIF(I15:P15, "yes"),"")</f>
        <v/>
      </c>
    </row>
    <row r="16" spans="1:17" x14ac:dyDescent="0.25">
      <c r="A16" s="16" t="str">
        <f>_xlfn.CONCAT(B16,F16)</f>
        <v>Coastal Waterman Pediatrics2018-Q1</v>
      </c>
      <c r="B16" s="19" t="s">
        <v>103</v>
      </c>
      <c r="C16" s="19" t="s">
        <v>20</v>
      </c>
      <c r="D16" s="39">
        <v>1</v>
      </c>
      <c r="E16" s="19" t="s">
        <v>27</v>
      </c>
      <c r="F16" s="19" t="s">
        <v>58</v>
      </c>
      <c r="G16" s="14">
        <v>76</v>
      </c>
      <c r="H16" s="14">
        <v>97.5</v>
      </c>
      <c r="I16" s="14" t="str">
        <f>IF((H16&gt;=G16),"yes",IF(H16&gt;=(G16*0.9),"within 10%","no"))</f>
        <v>yes</v>
      </c>
      <c r="J16" s="14">
        <f>IF($F16='Contract Adjudication Notes'!$D$2,IF($D16='Contract Adjudication Notes'!$D$6,"Start up",IFERROR(VLOOKUP($B16&amp;'Contract Adjudication Notes'!$D$3,$A$2:$P$67,8,FALSE),"NA")),"")</f>
        <v>96</v>
      </c>
      <c r="K16" s="14" t="str">
        <f>IF(AND($F16='Contract Adjudication Notes'!$D$2,NOT($D16='Contract Adjudication Notes'!$D$6),OR(I16="no",I16="within 10%")),IF(((H16-J16)&gt;=5),IF(H16&gt;=(J16+((G16-J16)/2)),"yes","no"),"no")," ")</f>
        <v xml:space="preserve"> </v>
      </c>
      <c r="L16" s="14">
        <v>75</v>
      </c>
      <c r="M16" s="14">
        <v>85.61</v>
      </c>
      <c r="N16" s="14" t="str">
        <f>IF((M16&gt;=L16),"yes",IF(M16&gt;=(L16*0.9),"within 10%","no"))</f>
        <v>yes</v>
      </c>
      <c r="O16" s="14">
        <f>IF($F16='Contract Adjudication Notes'!$D$2,IF($D16='Contract Adjudication Notes'!$D$6,"Start up",IFERROR(VLOOKUP($B16&amp;'Contract Adjudication Notes'!$D$3,$A$2:$P$67,13,FALSE),"NA")),"")</f>
        <v>72</v>
      </c>
      <c r="P16" s="14" t="str">
        <f>IF(AND($F16='Contract Adjudication Notes'!$D$2,OR(N16="no",N16="within 10%"),NOT($D16='Contract Adjudication Notes'!$D$6)),IF(((M16-O16)&gt;=5),IF(M16&gt;=(O16+((L16-O16)/2)),"yes","no"),"no")," ")</f>
        <v xml:space="preserve"> </v>
      </c>
      <c r="Q16" s="16">
        <f>IF($F16='Contract Adjudication Notes'!$D$2,COUNTIF(I16:P16, "yes"),"")</f>
        <v>2</v>
      </c>
    </row>
    <row r="17" spans="1:17" x14ac:dyDescent="0.25">
      <c r="A17" s="16" t="str">
        <f>_xlfn.CONCAT(B17,F17)</f>
        <v>East Bay Community Action Program2017-Q1</v>
      </c>
      <c r="B17" s="19" t="s">
        <v>102</v>
      </c>
      <c r="C17" s="19" t="s">
        <v>20</v>
      </c>
      <c r="D17" s="39">
        <v>1</v>
      </c>
      <c r="E17" s="19" t="s">
        <v>27</v>
      </c>
      <c r="F17" s="19" t="s">
        <v>54</v>
      </c>
      <c r="G17" s="14">
        <v>76</v>
      </c>
      <c r="H17" s="14">
        <v>46</v>
      </c>
      <c r="I17" s="14" t="str">
        <f>IF((H17&gt;=G17),"yes",IF(H17&gt;=(G17*0.9),"within 10%","no"))</f>
        <v>no</v>
      </c>
      <c r="J17" s="14" t="str">
        <f>IF($F17='Contract Adjudication Notes'!$D$2,IF($D17='Contract Adjudication Notes'!$D$6,"Start up",IFERROR(VLOOKUP($B17&amp;'Contract Adjudication Notes'!$D$3,$A$2:$P$67,8,FALSE),"NA")),"")</f>
        <v/>
      </c>
      <c r="K17" s="14" t="str">
        <f>IF(AND($F17='Contract Adjudication Notes'!$D$2,NOT($D17='Contract Adjudication Notes'!$D$6),OR(I17="no",I17="within 10%")),IF(((H17-J17)&gt;=5),IF(H17&gt;=(J17+((G17-J17)/2)),"yes","no"),"no")," ")</f>
        <v xml:space="preserve"> </v>
      </c>
      <c r="L17" s="14">
        <v>75</v>
      </c>
      <c r="M17" s="14">
        <v>59</v>
      </c>
      <c r="N17" s="14" t="str">
        <f>IF((M17&gt;=L17),"yes",IF(M17&gt;=(L17*0.9),"within 10%","no"))</f>
        <v>no</v>
      </c>
      <c r="O17" s="14" t="str">
        <f>IF($F17='Contract Adjudication Notes'!$D$2,IF($D17='Contract Adjudication Notes'!$D$6,"Start up",IFERROR(VLOOKUP($B17&amp;'Contract Adjudication Notes'!$D$3,$A$2:$P$67,13,FALSE),"NA")),"")</f>
        <v/>
      </c>
      <c r="P17" s="14" t="str">
        <f>IF(AND($F17='Contract Adjudication Notes'!$D$2,OR(N17="no",N17="within 10%"),NOT($D17='Contract Adjudication Notes'!$D$6)),IF(((M17-O17)&gt;=5),IF(M17&gt;=(O17+((L17-O17)/2)),"yes","no"),"no")," ")</f>
        <v xml:space="preserve"> </v>
      </c>
      <c r="Q17" s="16" t="str">
        <f>IF($F17='Contract Adjudication Notes'!$D$2,COUNTIF(I17:P17, "yes"),"")</f>
        <v/>
      </c>
    </row>
    <row r="18" spans="1:17" x14ac:dyDescent="0.25">
      <c r="A18" s="1" t="str">
        <f>_xlfn.CONCAT(B18,F18)</f>
        <v>East Bay Community Action Program2017-Q2</v>
      </c>
      <c r="B18" s="19" t="s">
        <v>102</v>
      </c>
      <c r="C18" s="19" t="s">
        <v>20</v>
      </c>
      <c r="D18" s="39">
        <v>1</v>
      </c>
      <c r="E18" s="19" t="s">
        <v>27</v>
      </c>
      <c r="F18" s="19" t="s">
        <v>55</v>
      </c>
      <c r="G18" s="14">
        <v>76</v>
      </c>
      <c r="H18" s="14">
        <v>72</v>
      </c>
      <c r="I18" s="14" t="str">
        <f>IF((H18&gt;=G18),"yes",IF(H18&gt;=(G18*0.9),"within 10%","no"))</f>
        <v>within 10%</v>
      </c>
      <c r="J18" s="14" t="str">
        <f>IF($F18='Contract Adjudication Notes'!$D$2,IF($D18='Contract Adjudication Notes'!$D$6,"Start up",IFERROR(VLOOKUP($B18&amp;'Contract Adjudication Notes'!$D$3,$A$2:$P$67,8,FALSE),"NA")),"")</f>
        <v/>
      </c>
      <c r="K18" s="14" t="str">
        <f>IF(AND($F18='Contract Adjudication Notes'!$D$2,NOT($D18='Contract Adjudication Notes'!$D$6),OR(I18="no",I18="within 10%")),IF(((H18-J18)&gt;=5),IF(H18&gt;=(J18+((G18-J18)/2)),"yes","no"),"no")," ")</f>
        <v xml:space="preserve"> </v>
      </c>
      <c r="L18" s="14">
        <v>75</v>
      </c>
      <c r="M18" s="14">
        <v>76</v>
      </c>
      <c r="N18" s="14" t="str">
        <f>IF((M18&gt;=L18),"yes",IF(M18&gt;=(L18*0.9),"within 10%","no"))</f>
        <v>yes</v>
      </c>
      <c r="O18" s="14" t="str">
        <f>IF($F18='Contract Adjudication Notes'!$D$2,IF($D18='Contract Adjudication Notes'!$D$6,"Start up",IFERROR(VLOOKUP($B18&amp;'Contract Adjudication Notes'!$D$3,$A$2:$P$67,13,FALSE),"NA")),"")</f>
        <v/>
      </c>
      <c r="P18" s="14" t="str">
        <f>IF(AND($F18='Contract Adjudication Notes'!$D$2,OR(N18="no",N18="within 10%"),NOT($D18='Contract Adjudication Notes'!$D$6)),IF(((M18-O18)&gt;=5),IF(M18&gt;=(O18+((L18-O18)/2)),"yes","no"),"no")," ")</f>
        <v xml:space="preserve"> </v>
      </c>
      <c r="Q18" s="16" t="str">
        <f>IF($F18='Contract Adjudication Notes'!$D$2,COUNTIF(I18:P18, "yes"),"")</f>
        <v/>
      </c>
    </row>
    <row r="19" spans="1:17" x14ac:dyDescent="0.25">
      <c r="A19" s="1" t="str">
        <f>_xlfn.CONCAT(B19,F19)</f>
        <v>East Bay Community Action Program2017-Q3</v>
      </c>
      <c r="B19" s="19" t="s">
        <v>102</v>
      </c>
      <c r="C19" s="19" t="s">
        <v>20</v>
      </c>
      <c r="D19" s="39">
        <v>1</v>
      </c>
      <c r="E19" s="19" t="s">
        <v>27</v>
      </c>
      <c r="F19" s="19" t="s">
        <v>56</v>
      </c>
      <c r="G19" s="14">
        <v>76</v>
      </c>
      <c r="H19" s="14">
        <v>75</v>
      </c>
      <c r="I19" s="14" t="str">
        <f>IF((H19&gt;=G19),"yes",IF(H19&gt;=(G19*0.9),"within 10%","no"))</f>
        <v>within 10%</v>
      </c>
      <c r="J19" s="14" t="str">
        <f>IF($F19='Contract Adjudication Notes'!$D$2,IF($D19='Contract Adjudication Notes'!$D$6,"Start up",IFERROR(VLOOKUP($B19&amp;'Contract Adjudication Notes'!$D$3,$A$2:$P$67,8,FALSE),"NA")),"")</f>
        <v/>
      </c>
      <c r="K19" s="14" t="str">
        <f>IF(AND($F19='Contract Adjudication Notes'!$D$2,NOT($D19='Contract Adjudication Notes'!$D$6),OR(I19="no",I19="within 10%")),IF(((H19-J19)&gt;=5),IF(H19&gt;=(J19+((G19-J19)/2)),"yes","no"),"no")," ")</f>
        <v xml:space="preserve"> </v>
      </c>
      <c r="L19" s="14">
        <v>75</v>
      </c>
      <c r="M19" s="14">
        <v>71</v>
      </c>
      <c r="N19" s="14" t="str">
        <f>IF((M19&gt;=L19),"yes",IF(M19&gt;=(L19*0.9),"within 10%","no"))</f>
        <v>within 10%</v>
      </c>
      <c r="O19" s="14" t="str">
        <f>IF($F19='Contract Adjudication Notes'!$D$2,IF($D19='Contract Adjudication Notes'!$D$6,"Start up",IFERROR(VLOOKUP($B19&amp;'Contract Adjudication Notes'!$D$3,$A$2:$P$67,13,FALSE),"NA")),"")</f>
        <v/>
      </c>
      <c r="P19" s="14" t="str">
        <f>IF(AND($F19='Contract Adjudication Notes'!$D$2,OR(N19="no",N19="within 10%"),NOT($D19='Contract Adjudication Notes'!$D$6)),IF(((M19-O19)&gt;=5),IF(M19&gt;=(O19+((L19-O19)/2)),"yes","no"),"no")," ")</f>
        <v xml:space="preserve"> </v>
      </c>
      <c r="Q19" s="16" t="str">
        <f>IF($F19='Contract Adjudication Notes'!$D$2,COUNTIF(I19:P19, "yes"),"")</f>
        <v/>
      </c>
    </row>
    <row r="20" spans="1:17" x14ac:dyDescent="0.25">
      <c r="A20" s="1" t="str">
        <f>_xlfn.CONCAT(B20,F20)</f>
        <v>East Bay Community Action Program2017-Q4</v>
      </c>
      <c r="B20" s="19" t="s">
        <v>102</v>
      </c>
      <c r="C20" s="19" t="s">
        <v>20</v>
      </c>
      <c r="D20" s="39">
        <v>1</v>
      </c>
      <c r="E20" s="19" t="s">
        <v>27</v>
      </c>
      <c r="F20" s="19" t="s">
        <v>57</v>
      </c>
      <c r="G20" s="14">
        <v>76</v>
      </c>
      <c r="H20" s="14">
        <v>75.16</v>
      </c>
      <c r="I20" s="14" t="str">
        <f>IF((H20&gt;=G20),"yes",IF(H20&gt;=(G20*0.9),"within 10%","no"))</f>
        <v>within 10%</v>
      </c>
      <c r="J20" s="14" t="str">
        <f>IF($F20='Contract Adjudication Notes'!$D$2,IF($D20='Contract Adjudication Notes'!$D$6,"Start up",IFERROR(VLOOKUP($B20&amp;'Contract Adjudication Notes'!$D$3,$A$2:$P$67,8,FALSE),"NA")),"")</f>
        <v/>
      </c>
      <c r="K20" s="14" t="str">
        <f>IF(AND($F20='Contract Adjudication Notes'!$D$2,NOT($D20='Contract Adjudication Notes'!$D$6),OR(I20="no",I20="within 10%")),IF(((H20-J20)&gt;=5),IF(H20&gt;=(J20+((G20-J20)/2)),"yes","no"),"no")," ")</f>
        <v xml:space="preserve"> </v>
      </c>
      <c r="L20" s="14">
        <v>75</v>
      </c>
      <c r="M20" s="14">
        <v>67.209999999999994</v>
      </c>
      <c r="N20" s="14" t="str">
        <f>IF((M20&gt;=L20),"yes",IF(M20&gt;=(L20*0.9),"within 10%","no"))</f>
        <v>no</v>
      </c>
      <c r="O20" s="14" t="str">
        <f>IF($F20='Contract Adjudication Notes'!$D$2,IF($D20='Contract Adjudication Notes'!$D$6,"Start up",IFERROR(VLOOKUP($B20&amp;'Contract Adjudication Notes'!$D$3,$A$2:$P$67,13,FALSE),"NA")),"")</f>
        <v/>
      </c>
      <c r="P20" s="14" t="str">
        <f>IF(AND($F20='Contract Adjudication Notes'!$D$2,OR(N20="no",N20="within 10%"),NOT($D20='Contract Adjudication Notes'!$D$6)),IF(((M20-O20)&gt;=5),IF(M20&gt;=(O20+((L20-O20)/2)),"yes","no"),"no")," ")</f>
        <v xml:space="preserve"> </v>
      </c>
      <c r="Q20" s="16" t="str">
        <f>IF($F20='Contract Adjudication Notes'!$D$2,COUNTIF(I20:P20, "yes"),"")</f>
        <v/>
      </c>
    </row>
    <row r="21" spans="1:17" ht="30" x14ac:dyDescent="0.25">
      <c r="A21" s="4" t="str">
        <f>_xlfn.CONCAT(B21,F21)</f>
        <v>East Bay Community Action Program2018-Q1</v>
      </c>
      <c r="B21" s="19" t="s">
        <v>102</v>
      </c>
      <c r="C21" s="19" t="s">
        <v>20</v>
      </c>
      <c r="D21" s="39">
        <v>1</v>
      </c>
      <c r="E21" s="19" t="s">
        <v>18</v>
      </c>
      <c r="F21" s="19" t="s">
        <v>58</v>
      </c>
      <c r="G21" s="14">
        <v>76</v>
      </c>
      <c r="H21" s="14">
        <v>71.010000000000005</v>
      </c>
      <c r="I21" s="14" t="str">
        <f>IF((H21&gt;=G21),"yes",IF(H21&gt;=(G21*0.9),"within 10%","no"))</f>
        <v>within 10%</v>
      </c>
      <c r="J21" s="14">
        <f>IF($F21='Contract Adjudication Notes'!$D$2,IF($D21='Contract Adjudication Notes'!$D$6,"Start up",IFERROR(VLOOKUP($B21&amp;'Contract Adjudication Notes'!$D$3,$A$2:$P$67,8,FALSE),"NA")),"")</f>
        <v>46</v>
      </c>
      <c r="K21" s="14" t="str">
        <f>IF(AND($F21='Contract Adjudication Notes'!$D$2,NOT($D21='Contract Adjudication Notes'!$D$6),OR(I21="no",I21="within 10%")),IF(((H21-J21)&gt;=5),IF(H21&gt;=(J21+((G21-J21)/2)),"yes","no"),"no")," ")</f>
        <v>yes</v>
      </c>
      <c r="L21" s="14">
        <v>75</v>
      </c>
      <c r="M21" s="14">
        <v>76.06</v>
      </c>
      <c r="N21" s="14" t="str">
        <f>IF((M21&gt;=L21),"yes",IF(M21&gt;=(L21*0.9),"within 10%","no"))</f>
        <v>yes</v>
      </c>
      <c r="O21" s="14">
        <f>IF($F21='Contract Adjudication Notes'!$D$2,IF($D21='Contract Adjudication Notes'!$D$6,"Start up",IFERROR(VLOOKUP($B21&amp;'Contract Adjudication Notes'!$D$3,$A$2:$P$67,13,FALSE),"NA")),"")</f>
        <v>59</v>
      </c>
      <c r="P21" s="14" t="str">
        <f>IF(AND($F21='Contract Adjudication Notes'!$D$2,OR(N21="no",N21="within 10%"),NOT($D21='Contract Adjudication Notes'!$D$6)),IF(((M21-O21)&gt;=5),IF(M21&gt;=(O21+((L21-O21)/2)),"yes","no"),"no")," ")</f>
        <v xml:space="preserve"> </v>
      </c>
      <c r="Q21" s="16">
        <f>IF($F21='Contract Adjudication Notes'!$D$2,COUNTIF(I21:P21, "yes"),"")</f>
        <v>2</v>
      </c>
    </row>
    <row r="22" spans="1:17" x14ac:dyDescent="0.25">
      <c r="A22" s="4" t="str">
        <f>_xlfn.CONCAT(B22,F22)</f>
        <v>East Greenwich Pediatrics2017-Q1</v>
      </c>
      <c r="B22" s="19" t="s">
        <v>106</v>
      </c>
      <c r="C22" s="19" t="s">
        <v>20</v>
      </c>
      <c r="D22" s="39">
        <v>1</v>
      </c>
      <c r="E22" s="19" t="s">
        <v>27</v>
      </c>
      <c r="F22" s="19" t="s">
        <v>54</v>
      </c>
      <c r="G22" s="14">
        <v>76</v>
      </c>
      <c r="H22" s="14">
        <v>99</v>
      </c>
      <c r="I22" s="14" t="str">
        <f>IF((H22&gt;=G22),"yes",IF(H22&gt;=(G22*0.9),"within 10%","no"))</f>
        <v>yes</v>
      </c>
      <c r="J22" s="14" t="str">
        <f>IF($F22='Contract Adjudication Notes'!$D$2,IF($D22='Contract Adjudication Notes'!$D$6,"Start up",IFERROR(VLOOKUP($B22&amp;'Contract Adjudication Notes'!$D$3,$A$2:$P$67,8,FALSE),"NA")),"")</f>
        <v/>
      </c>
      <c r="K22" s="14" t="str">
        <f>IF(AND($F22='Contract Adjudication Notes'!$D$2,NOT($D22='Contract Adjudication Notes'!$D$6),OR(I22="no",I22="within 10%")),IF(((H22-J22)&gt;=5),IF(H22&gt;=(J22+((G22-J22)/2)),"yes","no"),"no")," ")</f>
        <v xml:space="preserve"> </v>
      </c>
      <c r="L22" s="14">
        <v>75</v>
      </c>
      <c r="M22" s="14">
        <v>71</v>
      </c>
      <c r="N22" s="14" t="str">
        <f>IF((M22&gt;=L22),"yes",IF(M22&gt;=(L22*0.9),"within 10%","no"))</f>
        <v>within 10%</v>
      </c>
      <c r="O22" s="14" t="str">
        <f>IF($F22='Contract Adjudication Notes'!$D$2,IF($D22='Contract Adjudication Notes'!$D$6,"Start up",IFERROR(VLOOKUP($B22&amp;'Contract Adjudication Notes'!$D$3,$A$2:$P$67,13,FALSE),"NA")),"")</f>
        <v/>
      </c>
      <c r="P22" s="14" t="str">
        <f>IF(AND($F22='Contract Adjudication Notes'!$D$2,OR(N22="no",N22="within 10%"),NOT($D22='Contract Adjudication Notes'!$D$6)),IF(((M22-O22)&gt;=5),IF(M22&gt;=(O22+((L22-O22)/2)),"yes","no"),"no")," ")</f>
        <v xml:space="preserve"> </v>
      </c>
      <c r="Q22" s="16" t="str">
        <f>IF($F22='Contract Adjudication Notes'!$D$2,COUNTIF(I22:P22, "yes"),"")</f>
        <v/>
      </c>
    </row>
    <row r="23" spans="1:17" x14ac:dyDescent="0.25">
      <c r="A23" s="1" t="str">
        <f>_xlfn.CONCAT(B23,F23)</f>
        <v>East Greenwich Pediatrics2017-Q2</v>
      </c>
      <c r="B23" s="19" t="s">
        <v>106</v>
      </c>
      <c r="C23" s="19" t="s">
        <v>20</v>
      </c>
      <c r="D23" s="39">
        <v>1</v>
      </c>
      <c r="E23" s="19" t="s">
        <v>27</v>
      </c>
      <c r="F23" s="19" t="s">
        <v>55</v>
      </c>
      <c r="G23" s="14">
        <v>76</v>
      </c>
      <c r="H23" s="14">
        <v>92</v>
      </c>
      <c r="I23" s="14" t="str">
        <f>IF((H23&gt;=G23),"yes",IF(H23&gt;=(G23*0.9),"within 10%","no"))</f>
        <v>yes</v>
      </c>
      <c r="J23" s="14" t="str">
        <f>IF($F23='Contract Adjudication Notes'!$D$2,IF($D23='Contract Adjudication Notes'!$D$6,"Start up",IFERROR(VLOOKUP($B23&amp;'Contract Adjudication Notes'!$D$3,$A$2:$P$67,8,FALSE),"NA")),"")</f>
        <v/>
      </c>
      <c r="K23" s="14" t="str">
        <f>IF(AND($F23='Contract Adjudication Notes'!$D$2,NOT($D23='Contract Adjudication Notes'!$D$6),OR(I23="no",I23="within 10%")),IF(((H23-J23)&gt;=5),IF(H23&gt;=(J23+((G23-J23)/2)),"yes","no"),"no")," ")</f>
        <v xml:space="preserve"> </v>
      </c>
      <c r="L23" s="14">
        <v>75</v>
      </c>
      <c r="M23" s="14">
        <v>92</v>
      </c>
      <c r="N23" s="14" t="str">
        <f>IF((M23&gt;=L23),"yes",IF(M23&gt;=(L23*0.9),"within 10%","no"))</f>
        <v>yes</v>
      </c>
      <c r="O23" s="14" t="str">
        <f>IF($F23='Contract Adjudication Notes'!$D$2,IF($D23='Contract Adjudication Notes'!$D$6,"Start up",IFERROR(VLOOKUP($B23&amp;'Contract Adjudication Notes'!$D$3,$A$2:$P$67,13,FALSE),"NA")),"")</f>
        <v/>
      </c>
      <c r="P23" s="14" t="str">
        <f>IF(AND($F23='Contract Adjudication Notes'!$D$2,OR(N23="no",N23="within 10%"),NOT($D23='Contract Adjudication Notes'!$D$6)),IF(((M23-O23)&gt;=5),IF(M23&gt;=(O23+((L23-O23)/2)),"yes","no"),"no")," ")</f>
        <v xml:space="preserve"> </v>
      </c>
      <c r="Q23" s="16" t="str">
        <f>IF($F23='Contract Adjudication Notes'!$D$2,COUNTIF(I23:P23, "yes"),"")</f>
        <v/>
      </c>
    </row>
    <row r="24" spans="1:17" x14ac:dyDescent="0.25">
      <c r="A24" s="4" t="str">
        <f>_xlfn.CONCAT(B24,F24)</f>
        <v>East Greenwich Pediatrics2017-Q3</v>
      </c>
      <c r="B24" s="19" t="s">
        <v>106</v>
      </c>
      <c r="C24" s="19" t="s">
        <v>20</v>
      </c>
      <c r="D24" s="39">
        <v>1</v>
      </c>
      <c r="E24" s="19" t="s">
        <v>27</v>
      </c>
      <c r="F24" s="19" t="s">
        <v>56</v>
      </c>
      <c r="G24" s="14">
        <v>76</v>
      </c>
      <c r="H24" s="14">
        <v>92</v>
      </c>
      <c r="I24" s="14" t="str">
        <f>IF((H24&gt;=G24),"yes",IF(H24&gt;=(G24*0.9),"within 10%","no"))</f>
        <v>yes</v>
      </c>
      <c r="J24" s="14" t="str">
        <f>IF($F24='Contract Adjudication Notes'!$D$2,IF($D24='Contract Adjudication Notes'!$D$6,"Start up",IFERROR(VLOOKUP($B24&amp;'Contract Adjudication Notes'!$D$3,$A$2:$P$67,8,FALSE),"NA")),"")</f>
        <v/>
      </c>
      <c r="K24" s="14" t="str">
        <f>IF(AND($F24='Contract Adjudication Notes'!$D$2,NOT($D24='Contract Adjudication Notes'!$D$6),OR(I24="no",I24="within 10%")),IF(((H24-J24)&gt;=5),IF(H24&gt;=(J24+((G24-J24)/2)),"yes","no"),"no")," ")</f>
        <v xml:space="preserve"> </v>
      </c>
      <c r="L24" s="14">
        <v>75</v>
      </c>
      <c r="M24" s="14">
        <v>77</v>
      </c>
      <c r="N24" s="14" t="str">
        <f>IF((M24&gt;=L24),"yes",IF(M24&gt;=(L24*0.9),"within 10%","no"))</f>
        <v>yes</v>
      </c>
      <c r="O24" s="14" t="str">
        <f>IF($F24='Contract Adjudication Notes'!$D$2,IF($D24='Contract Adjudication Notes'!$D$6,"Start up",IFERROR(VLOOKUP($B24&amp;'Contract Adjudication Notes'!$D$3,$A$2:$P$67,13,FALSE),"NA")),"")</f>
        <v/>
      </c>
      <c r="P24" s="14" t="str">
        <f>IF(AND($F24='Contract Adjudication Notes'!$D$2,OR(N24="no",N24="within 10%"),NOT($D24='Contract Adjudication Notes'!$D$6)),IF(((M24-O24)&gt;=5),IF(M24&gt;=(O24+((L24-O24)/2)),"yes","no"),"no")," ")</f>
        <v xml:space="preserve"> </v>
      </c>
      <c r="Q24" s="16" t="str">
        <f>IF($F24='Contract Adjudication Notes'!$D$2,COUNTIF(I24:P24, "yes"),"")</f>
        <v/>
      </c>
    </row>
    <row r="25" spans="1:17" x14ac:dyDescent="0.25">
      <c r="A25" s="4" t="str">
        <f>_xlfn.CONCAT(B25,F25)</f>
        <v>East Greenwich Pediatrics2017-Q4</v>
      </c>
      <c r="B25" s="19" t="s">
        <v>106</v>
      </c>
      <c r="C25" s="19" t="s">
        <v>20</v>
      </c>
      <c r="D25" s="39">
        <v>1</v>
      </c>
      <c r="E25" s="19" t="s">
        <v>27</v>
      </c>
      <c r="F25" s="19" t="s">
        <v>57</v>
      </c>
      <c r="G25" s="14">
        <v>76</v>
      </c>
      <c r="H25" s="14">
        <v>93.02</v>
      </c>
      <c r="I25" s="14" t="str">
        <f>IF((H25&gt;=G25),"yes",IF(H25&gt;=(G25*0.9),"within 10%","no"))</f>
        <v>yes</v>
      </c>
      <c r="J25" s="14" t="str">
        <f>IF($F25='Contract Adjudication Notes'!$D$2,IF($D25='Contract Adjudication Notes'!$D$6,"Start up",IFERROR(VLOOKUP($B25&amp;'Contract Adjudication Notes'!$D$3,$A$2:$P$67,8,FALSE),"NA")),"")</f>
        <v/>
      </c>
      <c r="K25" s="14" t="str">
        <f>IF(AND($F25='Contract Adjudication Notes'!$D$2,NOT($D25='Contract Adjudication Notes'!$D$6),OR(I25="no",I25="within 10%")),IF(((H25-J25)&gt;=5),IF(H25&gt;=(J25+((G25-J25)/2)),"yes","no"),"no")," ")</f>
        <v xml:space="preserve"> </v>
      </c>
      <c r="L25" s="14">
        <v>75</v>
      </c>
      <c r="M25" s="14">
        <v>91.51</v>
      </c>
      <c r="N25" s="14" t="str">
        <f>IF((M25&gt;=L25),"yes",IF(M25&gt;=(L25*0.9),"within 10%","no"))</f>
        <v>yes</v>
      </c>
      <c r="O25" s="14" t="str">
        <f>IF($F25='Contract Adjudication Notes'!$D$2,IF($D25='Contract Adjudication Notes'!$D$6,"Start up",IFERROR(VLOOKUP($B25&amp;'Contract Adjudication Notes'!$D$3,$A$2:$P$67,13,FALSE),"NA")),"")</f>
        <v/>
      </c>
      <c r="P25" s="14" t="str">
        <f>IF(AND($F25='Contract Adjudication Notes'!$D$2,OR(N25="no",N25="within 10%"),NOT($D25='Contract Adjudication Notes'!$D$6)),IF(((M25-O25)&gt;=5),IF(M25&gt;=(O25+((L25-O25)/2)),"yes","no"),"no")," ")</f>
        <v xml:space="preserve"> </v>
      </c>
      <c r="Q25" s="16" t="str">
        <f>IF($F25='Contract Adjudication Notes'!$D$2,COUNTIF(I25:P25, "yes"),"")</f>
        <v/>
      </c>
    </row>
    <row r="26" spans="1:17" x14ac:dyDescent="0.25">
      <c r="A26" s="16" t="str">
        <f>_xlfn.CONCAT(B26,F26)</f>
        <v>East Greenwich Pediatrics2018-Q1</v>
      </c>
      <c r="B26" s="19" t="s">
        <v>106</v>
      </c>
      <c r="C26" s="19" t="s">
        <v>20</v>
      </c>
      <c r="D26" s="39">
        <v>1</v>
      </c>
      <c r="E26" s="19" t="s">
        <v>27</v>
      </c>
      <c r="F26" s="19" t="s">
        <v>58</v>
      </c>
      <c r="G26" s="14">
        <v>76</v>
      </c>
      <c r="H26" s="14">
        <v>93.98</v>
      </c>
      <c r="I26" s="14" t="str">
        <f>IF((H26&gt;=G26),"yes",IF(H26&gt;=(G26*0.9),"within 10%","no"))</f>
        <v>yes</v>
      </c>
      <c r="J26" s="14">
        <f>IF($F26='Contract Adjudication Notes'!$D$2,IF($D26='Contract Adjudication Notes'!$D$6,"Start up",IFERROR(VLOOKUP($B26&amp;'Contract Adjudication Notes'!$D$3,$A$2:$P$67,8,FALSE),"NA")),"")</f>
        <v>99</v>
      </c>
      <c r="K26" s="14" t="str">
        <f>IF(AND($F26='Contract Adjudication Notes'!$D$2,NOT($D26='Contract Adjudication Notes'!$D$6),OR(I26="no",I26="within 10%")),IF(((H26-J26)&gt;=5),IF(H26&gt;=(J26+((G26-J26)/2)),"yes","no"),"no")," ")</f>
        <v xml:space="preserve"> </v>
      </c>
      <c r="L26" s="14">
        <v>75</v>
      </c>
      <c r="M26" s="14">
        <v>87.97</v>
      </c>
      <c r="N26" s="14" t="str">
        <f>IF((M26&gt;=L26),"yes",IF(M26&gt;=(L26*0.9),"within 10%","no"))</f>
        <v>yes</v>
      </c>
      <c r="O26" s="14">
        <f>IF($F26='Contract Adjudication Notes'!$D$2,IF($D26='Contract Adjudication Notes'!$D$6,"Start up",IFERROR(VLOOKUP($B26&amp;'Contract Adjudication Notes'!$D$3,$A$2:$P$67,13,FALSE),"NA")),"")</f>
        <v>71</v>
      </c>
      <c r="P26" s="14" t="str">
        <f>IF(AND($F26='Contract Adjudication Notes'!$D$2,OR(N26="no",N26="within 10%"),NOT($D26='Contract Adjudication Notes'!$D$6)),IF(((M26-O26)&gt;=5),IF(M26&gt;=(O26+((L26-O26)/2)),"yes","no"),"no")," ")</f>
        <v xml:space="preserve"> </v>
      </c>
      <c r="Q26" s="16">
        <f>IF($F26='Contract Adjudication Notes'!$D$2,COUNTIF(I26:P26, "yes"),"")</f>
        <v>2</v>
      </c>
    </row>
    <row r="27" spans="1:17" ht="26.25" x14ac:dyDescent="0.25">
      <c r="A27" s="1" t="str">
        <f>_xlfn.CONCAT(B27,F27)</f>
        <v>Hasbro Medicine-Pediatric Primary Care Center2017-Q1</v>
      </c>
      <c r="B27" s="19" t="s">
        <v>107</v>
      </c>
      <c r="C27" s="19" t="s">
        <v>29</v>
      </c>
      <c r="D27" s="39">
        <v>1</v>
      </c>
      <c r="E27" s="19" t="s">
        <v>27</v>
      </c>
      <c r="F27" s="19" t="s">
        <v>54</v>
      </c>
      <c r="G27" s="14">
        <v>76</v>
      </c>
      <c r="H27" s="14">
        <v>46</v>
      </c>
      <c r="I27" s="14" t="str">
        <f>IF((H27&gt;=G27),"yes",IF(H27&gt;=(G27*0.9),"within 10%","no"))</f>
        <v>no</v>
      </c>
      <c r="J27" s="14" t="str">
        <f>IF($F27='Contract Adjudication Notes'!$D$2,IF($D27='Contract Adjudication Notes'!$D$6,"Start up",IFERROR(VLOOKUP($B27&amp;'Contract Adjudication Notes'!$D$3,$A$2:$P$67,8,FALSE),"NA")),"")</f>
        <v/>
      </c>
      <c r="K27" s="14" t="str">
        <f>IF(AND($F27='Contract Adjudication Notes'!$D$2,NOT($D27='Contract Adjudication Notes'!$D$6),OR(I27="no",I27="within 10%")),IF(((H27-J27)&gt;=5),IF(H27&gt;=(J27+((G27-J27)/2)),"yes","no"),"no")," ")</f>
        <v xml:space="preserve"> </v>
      </c>
      <c r="L27" s="14">
        <v>75</v>
      </c>
      <c r="M27" s="14">
        <v>17</v>
      </c>
      <c r="N27" s="14" t="str">
        <f>IF((M27&gt;=L27),"yes",IF(M27&gt;=(L27*0.9),"within 10%","no"))</f>
        <v>no</v>
      </c>
      <c r="O27" s="14" t="str">
        <f>IF($F27='Contract Adjudication Notes'!$D$2,IF($D27='Contract Adjudication Notes'!$D$6,"Start up",IFERROR(VLOOKUP($B27&amp;'Contract Adjudication Notes'!$D$3,$A$2:$P$67,13,FALSE),"NA")),"")</f>
        <v/>
      </c>
      <c r="P27" s="14" t="str">
        <f>IF(AND($F27='Contract Adjudication Notes'!$D$2,OR(N27="no",N27="within 10%"),NOT($D27='Contract Adjudication Notes'!$D$6)),IF(((M27-O27)&gt;=5),IF(M27&gt;=(O27+((L27-O27)/2)),"yes","no"),"no")," ")</f>
        <v xml:space="preserve"> </v>
      </c>
      <c r="Q27" s="16" t="str">
        <f>IF($F27='Contract Adjudication Notes'!$D$2,COUNTIF(I27:P27, "yes"),"")</f>
        <v/>
      </c>
    </row>
    <row r="28" spans="1:17" ht="30" x14ac:dyDescent="0.25">
      <c r="A28" s="4" t="str">
        <f>_xlfn.CONCAT(B28,F28)</f>
        <v>Hasbro Medicine-Pediatric Primary Care Center2017-Q2</v>
      </c>
      <c r="B28" s="19" t="s">
        <v>107</v>
      </c>
      <c r="C28" s="19" t="s">
        <v>29</v>
      </c>
      <c r="D28" s="39">
        <v>1</v>
      </c>
      <c r="E28" s="19" t="s">
        <v>27</v>
      </c>
      <c r="F28" s="19" t="s">
        <v>55</v>
      </c>
      <c r="G28" s="14">
        <v>76</v>
      </c>
      <c r="H28" s="14">
        <v>57</v>
      </c>
      <c r="I28" s="14" t="str">
        <f>IF((H28&gt;=G28),"yes",IF(H28&gt;=(G28*0.9),"within 10%","no"))</f>
        <v>no</v>
      </c>
      <c r="J28" s="14" t="str">
        <f>IF($F28='Contract Adjudication Notes'!$D$2,IF($D28='Contract Adjudication Notes'!$D$6,"Start up",IFERROR(VLOOKUP($B28&amp;'Contract Adjudication Notes'!$D$3,$A$2:$P$67,8,FALSE),"NA")),"")</f>
        <v/>
      </c>
      <c r="K28" s="14" t="str">
        <f>IF(AND($F28='Contract Adjudication Notes'!$D$2,NOT($D28='Contract Adjudication Notes'!$D$6),OR(I28="no",I28="within 10%")),IF(((H28-J28)&gt;=5),IF(H28&gt;=(J28+((G28-J28)/2)),"yes","no"),"no")," ")</f>
        <v xml:space="preserve"> </v>
      </c>
      <c r="L28" s="14">
        <v>75</v>
      </c>
      <c r="M28" s="14">
        <v>82</v>
      </c>
      <c r="N28" s="14" t="str">
        <f>IF((M28&gt;=L28),"yes",IF(M28&gt;=(L28*0.9),"within 10%","no"))</f>
        <v>yes</v>
      </c>
      <c r="O28" s="14" t="str">
        <f>IF($F28='Contract Adjudication Notes'!$D$2,IF($D28='Contract Adjudication Notes'!$D$6,"Start up",IFERROR(VLOOKUP($B28&amp;'Contract Adjudication Notes'!$D$3,$A$2:$P$67,13,FALSE),"NA")),"")</f>
        <v/>
      </c>
      <c r="P28" s="14" t="str">
        <f>IF(AND($F28='Contract Adjudication Notes'!$D$2,OR(N28="no",N28="within 10%"),NOT($D28='Contract Adjudication Notes'!$D$6)),IF(((M28-O28)&gt;=5),IF(M28&gt;=(O28+((L28-O28)/2)),"yes","no"),"no")," ")</f>
        <v xml:space="preserve"> </v>
      </c>
      <c r="Q28" s="16" t="str">
        <f>IF($F28='Contract Adjudication Notes'!$D$2,COUNTIF(I28:P28, "yes"),"")</f>
        <v/>
      </c>
    </row>
    <row r="29" spans="1:17" ht="26.25" x14ac:dyDescent="0.25">
      <c r="A29" s="1" t="str">
        <f>_xlfn.CONCAT(B29,F29)</f>
        <v>Hasbro Medicine-Pediatric Primary Care Center2017-Q3</v>
      </c>
      <c r="B29" s="19" t="s">
        <v>107</v>
      </c>
      <c r="C29" s="19" t="s">
        <v>29</v>
      </c>
      <c r="D29" s="39">
        <v>1</v>
      </c>
      <c r="E29" s="19" t="s">
        <v>27</v>
      </c>
      <c r="F29" s="19" t="s">
        <v>56</v>
      </c>
      <c r="G29" s="14">
        <v>76</v>
      </c>
      <c r="H29" s="14">
        <v>66</v>
      </c>
      <c r="I29" s="14" t="str">
        <f>IF((H29&gt;=G29),"yes",IF(H29&gt;=(G29*0.9),"within 10%","no"))</f>
        <v>no</v>
      </c>
      <c r="J29" s="14" t="str">
        <f>IF($F29='Contract Adjudication Notes'!$D$2,IF($D29='Contract Adjudication Notes'!$D$6,"Start up",IFERROR(VLOOKUP($B29&amp;'Contract Adjudication Notes'!$D$3,$A$2:$P$67,8,FALSE),"NA")),"")</f>
        <v/>
      </c>
      <c r="K29" s="14" t="str">
        <f>IF(AND($F29='Contract Adjudication Notes'!$D$2,NOT($D29='Contract Adjudication Notes'!$D$6),OR(I29="no",I29="within 10%")),IF(((H29-J29)&gt;=5),IF(H29&gt;=(J29+((G29-J29)/2)),"yes","no"),"no")," ")</f>
        <v xml:space="preserve"> </v>
      </c>
      <c r="L29" s="14">
        <v>75</v>
      </c>
      <c r="M29" s="14">
        <v>85</v>
      </c>
      <c r="N29" s="14" t="str">
        <f>IF((M29&gt;=L29),"yes",IF(M29&gt;=(L29*0.9),"within 10%","no"))</f>
        <v>yes</v>
      </c>
      <c r="O29" s="14" t="str">
        <f>IF($F29='Contract Adjudication Notes'!$D$2,IF($D29='Contract Adjudication Notes'!$D$6,"Start up",IFERROR(VLOOKUP($B29&amp;'Contract Adjudication Notes'!$D$3,$A$2:$P$67,13,FALSE),"NA")),"")</f>
        <v/>
      </c>
      <c r="P29" s="14" t="str">
        <f>IF(AND($F29='Contract Adjudication Notes'!$D$2,OR(N29="no",N29="within 10%"),NOT($D29='Contract Adjudication Notes'!$D$6)),IF(((M29-O29)&gt;=5),IF(M29&gt;=(O29+((L29-O29)/2)),"yes","no"),"no")," ")</f>
        <v xml:space="preserve"> </v>
      </c>
      <c r="Q29" s="16" t="str">
        <f>IF($F29='Contract Adjudication Notes'!$D$2,COUNTIF(I29:P29, "yes"),"")</f>
        <v/>
      </c>
    </row>
    <row r="30" spans="1:17" ht="26.25" x14ac:dyDescent="0.25">
      <c r="A30" s="1" t="str">
        <f>_xlfn.CONCAT(B30,F30)</f>
        <v>Hasbro Medicine-Pediatric Primary Care Center2017-Q4</v>
      </c>
      <c r="B30" s="19" t="s">
        <v>107</v>
      </c>
      <c r="C30" s="19" t="s">
        <v>29</v>
      </c>
      <c r="D30" s="39">
        <v>1</v>
      </c>
      <c r="E30" s="19" t="s">
        <v>27</v>
      </c>
      <c r="F30" s="19" t="s">
        <v>57</v>
      </c>
      <c r="G30" s="14">
        <v>76</v>
      </c>
      <c r="H30" s="14">
        <v>65.7</v>
      </c>
      <c r="I30" s="14" t="str">
        <f>IF((H30&gt;=G30),"yes",IF(H30&gt;=(G30*0.9),"within 10%","no"))</f>
        <v>no</v>
      </c>
      <c r="J30" s="14" t="str">
        <f>IF($F30='Contract Adjudication Notes'!$D$2,IF($D30='Contract Adjudication Notes'!$D$6,"Start up",IFERROR(VLOOKUP($B30&amp;'Contract Adjudication Notes'!$D$3,$A$2:$P$67,8,FALSE),"NA")),"")</f>
        <v/>
      </c>
      <c r="K30" s="14" t="str">
        <f>IF(AND($F30='Contract Adjudication Notes'!$D$2,NOT($D30='Contract Adjudication Notes'!$D$6),OR(I30="no",I30="within 10%")),IF(((H30-J30)&gt;=5),IF(H30&gt;=(J30+((G30-J30)/2)),"yes","no"),"no")," ")</f>
        <v xml:space="preserve"> </v>
      </c>
      <c r="L30" s="14">
        <v>75</v>
      </c>
      <c r="M30" s="14">
        <v>89.09</v>
      </c>
      <c r="N30" s="14" t="str">
        <f>IF((M30&gt;=L30),"yes",IF(M30&gt;=(L30*0.9),"within 10%","no"))</f>
        <v>yes</v>
      </c>
      <c r="O30" s="14" t="str">
        <f>IF($F30='Contract Adjudication Notes'!$D$2,IF($D30='Contract Adjudication Notes'!$D$6,"Start up",IFERROR(VLOOKUP($B30&amp;'Contract Adjudication Notes'!$D$3,$A$2:$P$67,13,FALSE),"NA")),"")</f>
        <v/>
      </c>
      <c r="P30" s="14" t="str">
        <f>IF(AND($F30='Contract Adjudication Notes'!$D$2,OR(N30="no",N30="within 10%"),NOT($D30='Contract Adjudication Notes'!$D$6)),IF(((M30-O30)&gt;=5),IF(M30&gt;=(O30+((L30-O30)/2)),"yes","no"),"no")," ")</f>
        <v xml:space="preserve"> </v>
      </c>
      <c r="Q30" s="16" t="str">
        <f>IF($F30='Contract Adjudication Notes'!$D$2,COUNTIF(I30:P30, "yes"),"")</f>
        <v/>
      </c>
    </row>
    <row r="31" spans="1:17" ht="26.25" x14ac:dyDescent="0.25">
      <c r="A31" s="16" t="str">
        <f>_xlfn.CONCAT(B31,F31)</f>
        <v>Hasbro Medicine-Pediatric Primary Care Center2018-Q1</v>
      </c>
      <c r="B31" s="19" t="s">
        <v>107</v>
      </c>
      <c r="C31" s="19" t="s">
        <v>29</v>
      </c>
      <c r="D31" s="39">
        <v>1</v>
      </c>
      <c r="E31" s="19" t="s">
        <v>27</v>
      </c>
      <c r="F31" s="19" t="s">
        <v>58</v>
      </c>
      <c r="G31" s="14">
        <v>76</v>
      </c>
      <c r="H31" s="14">
        <v>70.89</v>
      </c>
      <c r="I31" s="14" t="str">
        <f>IF((H31&gt;=G31),"yes",IF(H31&gt;=(G31*0.9),"within 10%","no"))</f>
        <v>within 10%</v>
      </c>
      <c r="J31" s="14">
        <f>IF($F31='Contract Adjudication Notes'!$D$2,IF($D31='Contract Adjudication Notes'!$D$6,"Start up",IFERROR(VLOOKUP($B31&amp;'Contract Adjudication Notes'!$D$3,$A$2:$P$67,8,FALSE),"NA")),"")</f>
        <v>46</v>
      </c>
      <c r="K31" s="14" t="str">
        <f>IF(AND($F31='Contract Adjudication Notes'!$D$2,NOT($D31='Contract Adjudication Notes'!$D$6),OR(I31="no",I31="within 10%")),IF(((H31-J31)&gt;=5),IF(H31&gt;=(J31+((G31-J31)/2)),"yes","no"),"no")," ")</f>
        <v>yes</v>
      </c>
      <c r="L31" s="14">
        <v>75</v>
      </c>
      <c r="M31" s="14">
        <v>79.55</v>
      </c>
      <c r="N31" s="14" t="str">
        <f>IF((M31&gt;=L31),"yes",IF(M31&gt;=(L31*0.9),"within 10%","no"))</f>
        <v>yes</v>
      </c>
      <c r="O31" s="14">
        <f>IF($F31='Contract Adjudication Notes'!$D$2,IF($D31='Contract Adjudication Notes'!$D$6,"Start up",IFERROR(VLOOKUP($B31&amp;'Contract Adjudication Notes'!$D$3,$A$2:$P$67,13,FALSE),"NA")),"")</f>
        <v>17</v>
      </c>
      <c r="P31" s="14" t="str">
        <f>IF(AND($F31='Contract Adjudication Notes'!$D$2,OR(N31="no",N31="within 10%"),NOT($D31='Contract Adjudication Notes'!$D$6)),IF(((M31-O31)&gt;=5),IF(M31&gt;=(O31+((L31-O31)/2)),"yes","no"),"no")," ")</f>
        <v xml:space="preserve"> </v>
      </c>
      <c r="Q31" s="16">
        <f>IF($F31='Contract Adjudication Notes'!$D$2,COUNTIF(I31:P31, "yes"),"")</f>
        <v>2</v>
      </c>
    </row>
    <row r="32" spans="1:17" x14ac:dyDescent="0.25">
      <c r="A32" s="1" t="str">
        <f>_xlfn.CONCAT(B32,F32)</f>
        <v>Hasbro Pediatric Primary Care2017-Q1</v>
      </c>
      <c r="B32" s="19" t="s">
        <v>104</v>
      </c>
      <c r="C32" s="19" t="s">
        <v>29</v>
      </c>
      <c r="D32" s="39">
        <v>1</v>
      </c>
      <c r="E32" s="19" t="s">
        <v>27</v>
      </c>
      <c r="F32" s="19" t="s">
        <v>54</v>
      </c>
      <c r="G32" s="14">
        <v>76</v>
      </c>
      <c r="H32" s="14">
        <v>53</v>
      </c>
      <c r="I32" s="14" t="str">
        <f>IF((H32&gt;=G32),"yes",IF(H32&gt;=(G32*0.9),"within 10%","no"))</f>
        <v>no</v>
      </c>
      <c r="J32" s="14" t="str">
        <f>IF($F32='Contract Adjudication Notes'!$D$2,IF($D32='Contract Adjudication Notes'!$D$6,"Start up",IFERROR(VLOOKUP($B32&amp;'Contract Adjudication Notes'!$D$3,$A$2:$P$67,8,FALSE),"NA")),"")</f>
        <v/>
      </c>
      <c r="K32" s="14" t="str">
        <f>IF(AND($F32='Contract Adjudication Notes'!$D$2,NOT($D32='Contract Adjudication Notes'!$D$6),OR(I32="no",I32="within 10%")),IF(((H32-J32)&gt;=5),IF(H32&gt;=(J32+((G32-J32)/2)),"yes","no"),"no")," ")</f>
        <v xml:space="preserve"> </v>
      </c>
      <c r="L32" s="14">
        <v>75</v>
      </c>
      <c r="M32" s="14">
        <v>15</v>
      </c>
      <c r="N32" s="14" t="str">
        <f>IF((M32&gt;=L32),"yes",IF(M32&gt;=(L32*0.9),"within 10%","no"))</f>
        <v>no</v>
      </c>
      <c r="O32" s="14" t="str">
        <f>IF($F32='Contract Adjudication Notes'!$D$2,IF($D32='Contract Adjudication Notes'!$D$6,"Start up",IFERROR(VLOOKUP($B32&amp;'Contract Adjudication Notes'!$D$3,$A$2:$P$67,13,FALSE),"NA")),"")</f>
        <v/>
      </c>
      <c r="P32" s="14" t="str">
        <f>IF(AND($F32='Contract Adjudication Notes'!$D$2,OR(N32="no",N32="within 10%"),NOT($D32='Contract Adjudication Notes'!$D$6)),IF(((M32-O32)&gt;=5),IF(M32&gt;=(O32+((L32-O32)/2)),"yes","no"),"no")," ")</f>
        <v xml:space="preserve"> </v>
      </c>
      <c r="Q32" s="16" t="str">
        <f>IF($F32='Contract Adjudication Notes'!$D$2,COUNTIF(I32:P32, "yes"),"")</f>
        <v/>
      </c>
    </row>
    <row r="33" spans="1:17" x14ac:dyDescent="0.25">
      <c r="A33" s="1" t="str">
        <f>_xlfn.CONCAT(B33,F33)</f>
        <v>Hasbro Pediatric Primary Care2017-Q2</v>
      </c>
      <c r="B33" s="19" t="s">
        <v>104</v>
      </c>
      <c r="C33" s="19" t="s">
        <v>29</v>
      </c>
      <c r="D33" s="39">
        <v>1</v>
      </c>
      <c r="E33" s="19" t="s">
        <v>27</v>
      </c>
      <c r="F33" s="19" t="s">
        <v>55</v>
      </c>
      <c r="G33" s="14">
        <v>76</v>
      </c>
      <c r="H33" s="14">
        <v>68</v>
      </c>
      <c r="I33" s="14" t="str">
        <f>IF((H33&gt;=G33),"yes",IF(H33&gt;=(G33*0.9),"within 10%","no"))</f>
        <v>no</v>
      </c>
      <c r="J33" s="14" t="str">
        <f>IF($F33='Contract Adjudication Notes'!$D$2,IF($D33='Contract Adjudication Notes'!$D$6,"Start up",IFERROR(VLOOKUP($B33&amp;'Contract Adjudication Notes'!$D$3,$A$2:$P$67,8,FALSE),"NA")),"")</f>
        <v/>
      </c>
      <c r="K33" s="14" t="str">
        <f>IF(AND($F33='Contract Adjudication Notes'!$D$2,NOT($D33='Contract Adjudication Notes'!$D$6),OR(I33="no",I33="within 10%")),IF(((H33-J33)&gt;=5),IF(H33&gt;=(J33+((G33-J33)/2)),"yes","no"),"no")," ")</f>
        <v xml:space="preserve"> </v>
      </c>
      <c r="L33" s="14">
        <v>75</v>
      </c>
      <c r="M33" s="14">
        <v>62</v>
      </c>
      <c r="N33" s="14" t="str">
        <f>IF((M33&gt;=L33),"yes",IF(M33&gt;=(L33*0.9),"within 10%","no"))</f>
        <v>no</v>
      </c>
      <c r="O33" s="14" t="str">
        <f>IF($F33='Contract Adjudication Notes'!$D$2,IF($D33='Contract Adjudication Notes'!$D$6,"Start up",IFERROR(VLOOKUP($B33&amp;'Contract Adjudication Notes'!$D$3,$A$2:$P$67,13,FALSE),"NA")),"")</f>
        <v/>
      </c>
      <c r="P33" s="14" t="str">
        <f>IF(AND($F33='Contract Adjudication Notes'!$D$2,OR(N33="no",N33="within 10%"),NOT($D33='Contract Adjudication Notes'!$D$6)),IF(((M33-O33)&gt;=5),IF(M33&gt;=(O33+((L33-O33)/2)),"yes","no"),"no")," ")</f>
        <v xml:space="preserve"> </v>
      </c>
      <c r="Q33" s="16" t="str">
        <f>IF($F33='Contract Adjudication Notes'!$D$2,COUNTIF(I33:P33, "yes"),"")</f>
        <v/>
      </c>
    </row>
    <row r="34" spans="1:17" x14ac:dyDescent="0.25">
      <c r="A34" s="1" t="str">
        <f>_xlfn.CONCAT(B34,F34)</f>
        <v>Hasbro Pediatric Primary Care2017-Q3</v>
      </c>
      <c r="B34" s="19" t="s">
        <v>104</v>
      </c>
      <c r="C34" s="19" t="s">
        <v>29</v>
      </c>
      <c r="D34" s="39">
        <v>1</v>
      </c>
      <c r="E34" s="19" t="s">
        <v>27</v>
      </c>
      <c r="F34" s="19" t="s">
        <v>56</v>
      </c>
      <c r="G34" s="14">
        <v>76</v>
      </c>
      <c r="H34" s="14">
        <v>84</v>
      </c>
      <c r="I34" s="14" t="str">
        <f>IF((H34&gt;=G34),"yes",IF(H34&gt;=(G34*0.9),"within 10%","no"))</f>
        <v>yes</v>
      </c>
      <c r="J34" s="14" t="str">
        <f>IF($F34='Contract Adjudication Notes'!$D$2,IF($D34='Contract Adjudication Notes'!$D$6,"Start up",IFERROR(VLOOKUP($B34&amp;'Contract Adjudication Notes'!$D$3,$A$2:$P$67,8,FALSE),"NA")),"")</f>
        <v/>
      </c>
      <c r="K34" s="14" t="str">
        <f>IF(AND($F34='Contract Adjudication Notes'!$D$2,NOT($D34='Contract Adjudication Notes'!$D$6),OR(I34="no",I34="within 10%")),IF(((H34-J34)&gt;=5),IF(H34&gt;=(J34+((G34-J34)/2)),"yes","no"),"no")," ")</f>
        <v xml:space="preserve"> </v>
      </c>
      <c r="L34" s="14">
        <v>75</v>
      </c>
      <c r="M34" s="14">
        <v>70</v>
      </c>
      <c r="N34" s="14" t="str">
        <f>IF((M34&gt;=L34),"yes",IF(M34&gt;=(L34*0.9),"within 10%","no"))</f>
        <v>within 10%</v>
      </c>
      <c r="O34" s="14" t="str">
        <f>IF($F34='Contract Adjudication Notes'!$D$2,IF($D34='Contract Adjudication Notes'!$D$6,"Start up",IFERROR(VLOOKUP($B34&amp;'Contract Adjudication Notes'!$D$3,$A$2:$P$67,13,FALSE),"NA")),"")</f>
        <v/>
      </c>
      <c r="P34" s="14" t="str">
        <f>IF(AND($F34='Contract Adjudication Notes'!$D$2,OR(N34="no",N34="within 10%"),NOT($D34='Contract Adjudication Notes'!$D$6)),IF(((M34-O34)&gt;=5),IF(M34&gt;=(O34+((L34-O34)/2)),"yes","no"),"no")," ")</f>
        <v xml:space="preserve"> </v>
      </c>
      <c r="Q34" s="16" t="str">
        <f>IF($F34='Contract Adjudication Notes'!$D$2,COUNTIF(I34:P34, "yes"),"")</f>
        <v/>
      </c>
    </row>
    <row r="35" spans="1:17" x14ac:dyDescent="0.25">
      <c r="A35" s="4" t="str">
        <f>_xlfn.CONCAT(B35,F35)</f>
        <v>Hasbro Pediatric Primary Care2017-Q4</v>
      </c>
      <c r="B35" s="19" t="s">
        <v>104</v>
      </c>
      <c r="C35" s="19" t="s">
        <v>29</v>
      </c>
      <c r="D35" s="39">
        <v>1</v>
      </c>
      <c r="E35" s="19" t="s">
        <v>27</v>
      </c>
      <c r="F35" s="19" t="s">
        <v>57</v>
      </c>
      <c r="G35" s="14">
        <v>76</v>
      </c>
      <c r="H35" s="14">
        <v>80.87</v>
      </c>
      <c r="I35" s="14" t="str">
        <f>IF((H35&gt;=G35),"yes",IF(H35&gt;=(G35*0.9),"within 10%","no"))</f>
        <v>yes</v>
      </c>
      <c r="J35" s="14" t="str">
        <f>IF($F35='Contract Adjudication Notes'!$D$2,IF($D35='Contract Adjudication Notes'!$D$6,"Start up",IFERROR(VLOOKUP($B35&amp;'Contract Adjudication Notes'!$D$3,$A$2:$P$67,8,FALSE),"NA")),"")</f>
        <v/>
      </c>
      <c r="K35" s="14" t="str">
        <f>IF(AND($F35='Contract Adjudication Notes'!$D$2,NOT($D35='Contract Adjudication Notes'!$D$6),OR(I35="no",I35="within 10%")),IF(((H35-J35)&gt;=5),IF(H35&gt;=(J35+((G35-J35)/2)),"yes","no"),"no")," ")</f>
        <v xml:space="preserve"> </v>
      </c>
      <c r="L35" s="14">
        <v>75</v>
      </c>
      <c r="M35" s="14">
        <v>67.73</v>
      </c>
      <c r="N35" s="14" t="str">
        <f>IF((M35&gt;=L35),"yes",IF(M35&gt;=(L35*0.9),"within 10%","no"))</f>
        <v>within 10%</v>
      </c>
      <c r="O35" s="14" t="str">
        <f>IF($F35='Contract Adjudication Notes'!$D$2,IF($D35='Contract Adjudication Notes'!$D$6,"Start up",IFERROR(VLOOKUP($B35&amp;'Contract Adjudication Notes'!$D$3,$A$2:$P$67,13,FALSE),"NA")),"")</f>
        <v/>
      </c>
      <c r="P35" s="14" t="str">
        <f>IF(AND($F35='Contract Adjudication Notes'!$D$2,OR(N35="no",N35="within 10%"),NOT($D35='Contract Adjudication Notes'!$D$6)),IF(((M35-O35)&gt;=5),IF(M35&gt;=(O35+((L35-O35)/2)),"yes","no"),"no")," ")</f>
        <v xml:space="preserve"> </v>
      </c>
      <c r="Q35" s="16" t="str">
        <f>IF($F35='Contract Adjudication Notes'!$D$2,COUNTIF(I35:P35, "yes"),"")</f>
        <v/>
      </c>
    </row>
    <row r="36" spans="1:17" x14ac:dyDescent="0.25">
      <c r="A36" s="1" t="str">
        <f>_xlfn.CONCAT(B36,F36)</f>
        <v>Hasbro Pediatric Primary Care2018-Q1</v>
      </c>
      <c r="B36" s="19" t="s">
        <v>104</v>
      </c>
      <c r="C36" s="19" t="s">
        <v>29</v>
      </c>
      <c r="D36" s="39">
        <v>1</v>
      </c>
      <c r="E36" s="19" t="s">
        <v>27</v>
      </c>
      <c r="F36" s="19" t="s">
        <v>58</v>
      </c>
      <c r="G36" s="14">
        <v>76</v>
      </c>
      <c r="H36" s="14">
        <v>90.09</v>
      </c>
      <c r="I36" s="14" t="str">
        <f>IF((H36&gt;=G36),"yes",IF(H36&gt;=(G36*0.9),"within 10%","no"))</f>
        <v>yes</v>
      </c>
      <c r="J36" s="14">
        <f>IF($F36='Contract Adjudication Notes'!$D$2,IF($D36='Contract Adjudication Notes'!$D$6,"Start up",IFERROR(VLOOKUP($B36&amp;'Contract Adjudication Notes'!$D$3,$A$2:$P$67,8,FALSE),"NA")),"")</f>
        <v>53</v>
      </c>
      <c r="K36" s="14" t="str">
        <f>IF(AND($F36='Contract Adjudication Notes'!$D$2,NOT($D36='Contract Adjudication Notes'!$D$6),OR(I36="no",I36="within 10%")),IF(((H36-J36)&gt;=5),IF(H36&gt;=(J36+((G36-J36)/2)),"yes","no"),"no")," ")</f>
        <v xml:space="preserve"> </v>
      </c>
      <c r="L36" s="14">
        <v>75</v>
      </c>
      <c r="M36" s="14">
        <v>68.099999999999994</v>
      </c>
      <c r="N36" s="14" t="str">
        <f>IF((M36&gt;=L36),"yes",IF(M36&gt;=(L36*0.9),"within 10%","no"))</f>
        <v>within 10%</v>
      </c>
      <c r="O36" s="14">
        <f>IF($F36='Contract Adjudication Notes'!$D$2,IF($D36='Contract Adjudication Notes'!$D$6,"Start up",IFERROR(VLOOKUP($B36&amp;'Contract Adjudication Notes'!$D$3,$A$2:$P$67,13,FALSE),"NA")),"")</f>
        <v>15</v>
      </c>
      <c r="P36" s="14" t="str">
        <f>IF(AND($F36='Contract Adjudication Notes'!$D$2,OR(N36="no",N36="within 10%"),NOT($D36='Contract Adjudication Notes'!$D$6)),IF(((M36-O36)&gt;=5),IF(M36&gt;=(O36+((L36-O36)/2)),"yes","no"),"no")," ")</f>
        <v>yes</v>
      </c>
      <c r="Q36" s="16">
        <f>IF($F36='Contract Adjudication Notes'!$D$2,COUNTIF(I36:P36, "yes"),"")</f>
        <v>2</v>
      </c>
    </row>
    <row r="37" spans="1:17" x14ac:dyDescent="0.25">
      <c r="A37" s="16" t="str">
        <f>_xlfn.CONCAT(B37,F37)</f>
        <v>Pediatric Associates, Inc2017-Q1</v>
      </c>
      <c r="B37" s="19" t="s">
        <v>108</v>
      </c>
      <c r="C37" s="19" t="s">
        <v>20</v>
      </c>
      <c r="D37" s="39">
        <v>1</v>
      </c>
      <c r="E37" s="19" t="s">
        <v>27</v>
      </c>
      <c r="F37" s="19" t="s">
        <v>54</v>
      </c>
      <c r="G37" s="14">
        <v>76</v>
      </c>
      <c r="H37" s="14">
        <v>74</v>
      </c>
      <c r="I37" s="14" t="str">
        <f>IF((H37&gt;=G37),"yes",IF(H37&gt;=(G37*0.9),"within 10%","no"))</f>
        <v>within 10%</v>
      </c>
      <c r="J37" s="14" t="str">
        <f>IF($F37='Contract Adjudication Notes'!$D$2,IF($D37='Contract Adjudication Notes'!$D$6,"Start up",IFERROR(VLOOKUP($B37&amp;'Contract Adjudication Notes'!$D$3,$A$2:$P$67,8,FALSE),"NA")),"")</f>
        <v/>
      </c>
      <c r="K37" s="14" t="str">
        <f>IF(AND($F37='Contract Adjudication Notes'!$D$2,NOT($D37='Contract Adjudication Notes'!$D$6),OR(I37="no",I37="within 10%")),IF(((H37-J37)&gt;=5),IF(H37&gt;=(J37+((G37-J37)/2)),"yes","no"),"no")," ")</f>
        <v xml:space="preserve"> </v>
      </c>
      <c r="L37" s="14">
        <v>75</v>
      </c>
      <c r="M37" s="14">
        <v>93</v>
      </c>
      <c r="N37" s="14" t="str">
        <f>IF((M37&gt;=L37),"yes",IF(M37&gt;=(L37*0.9),"within 10%","no"))</f>
        <v>yes</v>
      </c>
      <c r="O37" s="14" t="str">
        <f>IF($F37='Contract Adjudication Notes'!$D$2,IF($D37='Contract Adjudication Notes'!$D$6,"Start up",IFERROR(VLOOKUP($B37&amp;'Contract Adjudication Notes'!$D$3,$A$2:$P$67,13,FALSE),"NA")),"")</f>
        <v/>
      </c>
      <c r="P37" s="14" t="str">
        <f>IF(AND($F37='Contract Adjudication Notes'!$D$2,OR(N37="no",N37="within 10%"),NOT($D37='Contract Adjudication Notes'!$D$6)),IF(((M37-O37)&gt;=5),IF(M37&gt;=(O37+((L37-O37)/2)),"yes","no"),"no")," ")</f>
        <v xml:space="preserve"> </v>
      </c>
      <c r="Q37" s="16" t="str">
        <f>IF($F37='Contract Adjudication Notes'!$D$2,COUNTIF(I37:P37, "yes"),"")</f>
        <v/>
      </c>
    </row>
    <row r="38" spans="1:17" x14ac:dyDescent="0.25">
      <c r="A38" s="1" t="str">
        <f>_xlfn.CONCAT(B38,F38)</f>
        <v>Pediatric Associates, Inc2017-Q2</v>
      </c>
      <c r="B38" s="19" t="s">
        <v>108</v>
      </c>
      <c r="C38" s="19" t="s">
        <v>20</v>
      </c>
      <c r="D38" s="39">
        <v>1</v>
      </c>
      <c r="E38" s="19" t="s">
        <v>27</v>
      </c>
      <c r="F38" s="19" t="s">
        <v>55</v>
      </c>
      <c r="G38" s="14">
        <v>76</v>
      </c>
      <c r="H38" s="14">
        <v>84</v>
      </c>
      <c r="I38" s="14" t="str">
        <f>IF((H38&gt;=G38),"yes",IF(H38&gt;=(G38*0.9),"within 10%","no"))</f>
        <v>yes</v>
      </c>
      <c r="J38" s="14" t="str">
        <f>IF($F38='Contract Adjudication Notes'!$D$2,IF($D38='Contract Adjudication Notes'!$D$6,"Start up",IFERROR(VLOOKUP($B38&amp;'Contract Adjudication Notes'!$D$3,$A$2:$P$67,8,FALSE),"NA")),"")</f>
        <v/>
      </c>
      <c r="K38" s="14" t="str">
        <f>IF(AND($F38='Contract Adjudication Notes'!$D$2,NOT($D38='Contract Adjudication Notes'!$D$6),OR(I38="no",I38="within 10%")),IF(((H38-J38)&gt;=5),IF(H38&gt;=(J38+((G38-J38)/2)),"yes","no"),"no")," ")</f>
        <v xml:space="preserve"> </v>
      </c>
      <c r="L38" s="14">
        <v>75</v>
      </c>
      <c r="M38" s="14">
        <v>94</v>
      </c>
      <c r="N38" s="14" t="str">
        <f>IF((M38&gt;=L38),"yes",IF(M38&gt;=(L38*0.9),"within 10%","no"))</f>
        <v>yes</v>
      </c>
      <c r="O38" s="14" t="str">
        <f>IF($F38='Contract Adjudication Notes'!$D$2,IF($D38='Contract Adjudication Notes'!$D$6,"Start up",IFERROR(VLOOKUP($B38&amp;'Contract Adjudication Notes'!$D$3,$A$2:$P$67,13,FALSE),"NA")),"")</f>
        <v/>
      </c>
      <c r="P38" s="14" t="str">
        <f>IF(AND($F38='Contract Adjudication Notes'!$D$2,OR(N38="no",N38="within 10%"),NOT($D38='Contract Adjudication Notes'!$D$6)),IF(((M38-O38)&gt;=5),IF(M38&gt;=(O38+((L38-O38)/2)),"yes","no"),"no")," ")</f>
        <v xml:space="preserve"> </v>
      </c>
      <c r="Q38" s="16" t="str">
        <f>IF($F38='Contract Adjudication Notes'!$D$2,COUNTIF(I38:P38, "yes"),"")</f>
        <v/>
      </c>
    </row>
    <row r="39" spans="1:17" x14ac:dyDescent="0.25">
      <c r="A39" s="4" t="str">
        <f>_xlfn.CONCAT(B39,F39)</f>
        <v>Pediatric Associates, Inc2017-Q3</v>
      </c>
      <c r="B39" s="19" t="s">
        <v>108</v>
      </c>
      <c r="C39" s="19" t="s">
        <v>20</v>
      </c>
      <c r="D39" s="39">
        <v>1</v>
      </c>
      <c r="E39" s="19" t="s">
        <v>27</v>
      </c>
      <c r="F39" s="19" t="s">
        <v>56</v>
      </c>
      <c r="G39" s="14">
        <v>76</v>
      </c>
      <c r="H39" s="14">
        <v>87</v>
      </c>
      <c r="I39" s="14" t="str">
        <f>IF((H39&gt;=G39),"yes",IF(H39&gt;=(G39*0.9),"within 10%","no"))</f>
        <v>yes</v>
      </c>
      <c r="J39" s="14" t="str">
        <f>IF($F39='Contract Adjudication Notes'!$D$2,IF($D39='Contract Adjudication Notes'!$D$6,"Start up",IFERROR(VLOOKUP($B39&amp;'Contract Adjudication Notes'!$D$3,$A$2:$P$67,8,FALSE),"NA")),"")</f>
        <v/>
      </c>
      <c r="K39" s="14" t="str">
        <f>IF(AND($F39='Contract Adjudication Notes'!$D$2,NOT($D39='Contract Adjudication Notes'!$D$6),OR(I39="no",I39="within 10%")),IF(((H39-J39)&gt;=5),IF(H39&gt;=(J39+((G39-J39)/2)),"yes","no"),"no")," ")</f>
        <v xml:space="preserve"> </v>
      </c>
      <c r="L39" s="14">
        <v>75</v>
      </c>
      <c r="M39" s="14">
        <v>94</v>
      </c>
      <c r="N39" s="14" t="str">
        <f>IF((M39&gt;=L39),"yes",IF(M39&gt;=(L39*0.9),"within 10%","no"))</f>
        <v>yes</v>
      </c>
      <c r="O39" s="14" t="str">
        <f>IF($F39='Contract Adjudication Notes'!$D$2,IF($D39='Contract Adjudication Notes'!$D$6,"Start up",IFERROR(VLOOKUP($B39&amp;'Contract Adjudication Notes'!$D$3,$A$2:$P$67,13,FALSE),"NA")),"")</f>
        <v/>
      </c>
      <c r="P39" s="14" t="str">
        <f>IF(AND($F39='Contract Adjudication Notes'!$D$2,OR(N39="no",N39="within 10%"),NOT($D39='Contract Adjudication Notes'!$D$6)),IF(((M39-O39)&gt;=5),IF(M39&gt;=(O39+((L39-O39)/2)),"yes","no"),"no")," ")</f>
        <v xml:space="preserve"> </v>
      </c>
      <c r="Q39" s="16" t="str">
        <f>IF($F39='Contract Adjudication Notes'!$D$2,COUNTIF(I39:P39, "yes"),"")</f>
        <v/>
      </c>
    </row>
    <row r="40" spans="1:17" x14ac:dyDescent="0.25">
      <c r="A40" s="1" t="str">
        <f>_xlfn.CONCAT(B40,F40)</f>
        <v>Pediatric Associates, Inc2017-Q4</v>
      </c>
      <c r="B40" s="19" t="s">
        <v>108</v>
      </c>
      <c r="C40" s="19" t="s">
        <v>20</v>
      </c>
      <c r="D40" s="39">
        <v>1</v>
      </c>
      <c r="E40" s="19" t="s">
        <v>27</v>
      </c>
      <c r="F40" s="19" t="s">
        <v>57</v>
      </c>
      <c r="G40" s="14">
        <v>76</v>
      </c>
      <c r="H40" s="14">
        <v>89.3</v>
      </c>
      <c r="I40" s="14" t="str">
        <f>IF((H40&gt;=G40),"yes",IF(H40&gt;=(G40*0.9),"within 10%","no"))</f>
        <v>yes</v>
      </c>
      <c r="J40" s="14" t="str">
        <f>IF($F40='Contract Adjudication Notes'!$D$2,IF($D40='Contract Adjudication Notes'!$D$6,"Start up",IFERROR(VLOOKUP($B40&amp;'Contract Adjudication Notes'!$D$3,$A$2:$P$67,8,FALSE),"NA")),"")</f>
        <v/>
      </c>
      <c r="K40" s="14" t="str">
        <f>IF(AND($F40='Contract Adjudication Notes'!$D$2,NOT($D40='Contract Adjudication Notes'!$D$6),OR(I40="no",I40="within 10%")),IF(((H40-J40)&gt;=5),IF(H40&gt;=(J40+((G40-J40)/2)),"yes","no"),"no")," ")</f>
        <v xml:space="preserve"> </v>
      </c>
      <c r="L40" s="14">
        <v>75</v>
      </c>
      <c r="M40" s="14">
        <v>94.43</v>
      </c>
      <c r="N40" s="14" t="str">
        <f>IF((M40&gt;=L40),"yes",IF(M40&gt;=(L40*0.9),"within 10%","no"))</f>
        <v>yes</v>
      </c>
      <c r="O40" s="14" t="str">
        <f>IF($F40='Contract Adjudication Notes'!$D$2,IF($D40='Contract Adjudication Notes'!$D$6,"Start up",IFERROR(VLOOKUP($B40&amp;'Contract Adjudication Notes'!$D$3,$A$2:$P$67,13,FALSE),"NA")),"")</f>
        <v/>
      </c>
      <c r="P40" s="14" t="str">
        <f>IF(AND($F40='Contract Adjudication Notes'!$D$2,OR(N40="no",N40="within 10%"),NOT($D40='Contract Adjudication Notes'!$D$6)),IF(((M40-O40)&gt;=5),IF(M40&gt;=(O40+((L40-O40)/2)),"yes","no"),"no")," ")</f>
        <v xml:space="preserve"> </v>
      </c>
      <c r="Q40" s="16" t="str">
        <f>IF($F40='Contract Adjudication Notes'!$D$2,COUNTIF(I40:P40, "yes"),"")</f>
        <v/>
      </c>
    </row>
    <row r="41" spans="1:17" x14ac:dyDescent="0.25">
      <c r="A41" s="1" t="str">
        <f>_xlfn.CONCAT(B41,F41)</f>
        <v>Pediatric Associates, Inc2018-Q1</v>
      </c>
      <c r="B41" s="19" t="s">
        <v>108</v>
      </c>
      <c r="C41" s="19" t="s">
        <v>20</v>
      </c>
      <c r="D41" s="39">
        <v>1</v>
      </c>
      <c r="E41" s="19" t="s">
        <v>27</v>
      </c>
      <c r="F41" s="19" t="s">
        <v>58</v>
      </c>
      <c r="G41" s="14">
        <v>76</v>
      </c>
      <c r="H41" s="14">
        <v>88.25</v>
      </c>
      <c r="I41" s="14" t="str">
        <f>IF((H41&gt;=G41),"yes",IF(H41&gt;=(G41*0.9),"within 10%","no"))</f>
        <v>yes</v>
      </c>
      <c r="J41" s="14">
        <f>IF($F41='Contract Adjudication Notes'!$D$2,IF($D41='Contract Adjudication Notes'!$D$6,"Start up",IFERROR(VLOOKUP($B41&amp;'Contract Adjudication Notes'!$D$3,$A$2:$P$67,8,FALSE),"NA")),"")</f>
        <v>74</v>
      </c>
      <c r="K41" s="14" t="str">
        <f>IF(AND($F41='Contract Adjudication Notes'!$D$2,NOT($D41='Contract Adjudication Notes'!$D$6),OR(I41="no",I41="within 10%")),IF(((H41-J41)&gt;=5),IF(H41&gt;=(J41+((G41-J41)/2)),"yes","no"),"no")," ")</f>
        <v xml:space="preserve"> </v>
      </c>
      <c r="L41" s="14">
        <v>75</v>
      </c>
      <c r="M41" s="14">
        <v>93.58</v>
      </c>
      <c r="N41" s="14" t="str">
        <f>IF((M41&gt;=L41),"yes",IF(M41&gt;=(L41*0.9),"within 10%","no"))</f>
        <v>yes</v>
      </c>
      <c r="O41" s="14">
        <f>IF($F41='Contract Adjudication Notes'!$D$2,IF($D41='Contract Adjudication Notes'!$D$6,"Start up",IFERROR(VLOOKUP($B41&amp;'Contract Adjudication Notes'!$D$3,$A$2:$P$67,13,FALSE),"NA")),"")</f>
        <v>93</v>
      </c>
      <c r="P41" s="14" t="str">
        <f>IF(AND($F41='Contract Adjudication Notes'!$D$2,OR(N41="no",N41="within 10%"),NOT($D41='Contract Adjudication Notes'!$D$6)),IF(((M41-O41)&gt;=5),IF(M41&gt;=(O41+((L41-O41)/2)),"yes","no"),"no")," ")</f>
        <v xml:space="preserve"> </v>
      </c>
      <c r="Q41" s="16">
        <f>IF($F41='Contract Adjudication Notes'!$D$2,COUNTIF(I41:P41, "yes"),"")</f>
        <v>2</v>
      </c>
    </row>
    <row r="42" spans="1:17" x14ac:dyDescent="0.25">
      <c r="A42" s="1" t="str">
        <f>_xlfn.CONCAT(B42,F42)</f>
        <v>Wood River Health2017-Q1</v>
      </c>
      <c r="B42" s="19" t="s">
        <v>109</v>
      </c>
      <c r="C42" s="19" t="s">
        <v>20</v>
      </c>
      <c r="D42" s="39">
        <v>1</v>
      </c>
      <c r="E42" s="19" t="s">
        <v>18</v>
      </c>
      <c r="F42" s="19" t="s">
        <v>54</v>
      </c>
      <c r="G42" s="14">
        <v>76</v>
      </c>
      <c r="H42" s="14">
        <v>69</v>
      </c>
      <c r="I42" s="14" t="str">
        <f>IF((H42&gt;=G42),"yes",IF(H42&gt;=(G42*0.9),"within 10%","no"))</f>
        <v>within 10%</v>
      </c>
      <c r="J42" s="14" t="str">
        <f>IF($F42='Contract Adjudication Notes'!$D$2,IF($D42='Contract Adjudication Notes'!$D$6,"Start up",IFERROR(VLOOKUP($B42&amp;'Contract Adjudication Notes'!$D$3,$A$2:$P$67,8,FALSE),"NA")),"")</f>
        <v/>
      </c>
      <c r="K42" s="14" t="str">
        <f>IF(AND($F42='Contract Adjudication Notes'!$D$2,NOT($D42='Contract Adjudication Notes'!$D$6),OR(I42="no",I42="within 10%")),IF(((H42-J42)&gt;=5),IF(H42&gt;=(J42+((G42-J42)/2)),"yes","no"),"no")," ")</f>
        <v xml:space="preserve"> </v>
      </c>
      <c r="L42" s="14">
        <v>75</v>
      </c>
      <c r="M42" s="14">
        <v>78</v>
      </c>
      <c r="N42" s="14" t="str">
        <f>IF((M42&gt;=L42),"yes",IF(M42&gt;=(L42*0.9),"within 10%","no"))</f>
        <v>yes</v>
      </c>
      <c r="O42" s="14" t="str">
        <f>IF($F42='Contract Adjudication Notes'!$D$2,IF($D42='Contract Adjudication Notes'!$D$6,"Start up",IFERROR(VLOOKUP($B42&amp;'Contract Adjudication Notes'!$D$3,$A$2:$P$67,13,FALSE),"NA")),"")</f>
        <v/>
      </c>
      <c r="P42" s="14" t="str">
        <f>IF(AND($F42='Contract Adjudication Notes'!$D$2,OR(N42="no",N42="within 10%"),NOT($D42='Contract Adjudication Notes'!$D$6)),IF(((M42-O42)&gt;=5),IF(M42&gt;=(O42+((L42-O42)/2)),"yes","no"),"no")," ")</f>
        <v xml:space="preserve"> </v>
      </c>
      <c r="Q42" s="16" t="str">
        <f>IF($F42='Contract Adjudication Notes'!$D$2,COUNTIF(I42:P42, "yes"),"")</f>
        <v/>
      </c>
    </row>
    <row r="43" spans="1:17" x14ac:dyDescent="0.25">
      <c r="A43" s="1" t="str">
        <f>_xlfn.CONCAT(B43,F43)</f>
        <v>Wood River Health2017-Q2</v>
      </c>
      <c r="B43" s="19" t="s">
        <v>109</v>
      </c>
      <c r="C43" s="19" t="s">
        <v>20</v>
      </c>
      <c r="D43" s="39">
        <v>1</v>
      </c>
      <c r="E43" s="19" t="s">
        <v>18</v>
      </c>
      <c r="F43" s="19" t="s">
        <v>55</v>
      </c>
      <c r="G43" s="14">
        <v>76</v>
      </c>
      <c r="H43" s="14">
        <v>67</v>
      </c>
      <c r="I43" s="14" t="str">
        <f>IF((H43&gt;=G43),"yes",IF(H43&gt;=(G43*0.9),"within 10%","no"))</f>
        <v>no</v>
      </c>
      <c r="J43" s="14" t="str">
        <f>IF($F43='Contract Adjudication Notes'!$D$2,IF($D43='Contract Adjudication Notes'!$D$6,"Start up",IFERROR(VLOOKUP($B43&amp;'Contract Adjudication Notes'!$D$3,$A$2:$P$67,8,FALSE),"NA")),"")</f>
        <v/>
      </c>
      <c r="K43" s="14" t="str">
        <f>IF(AND($F43='Contract Adjudication Notes'!$D$2,NOT($D43='Contract Adjudication Notes'!$D$6),OR(I43="no",I43="within 10%")),IF(((H43-J43)&gt;=5),IF(H43&gt;=(J43+((G43-J43)/2)),"yes","no"),"no")," ")</f>
        <v xml:space="preserve"> </v>
      </c>
      <c r="L43" s="14">
        <v>75</v>
      </c>
      <c r="M43" s="14">
        <v>79</v>
      </c>
      <c r="N43" s="14" t="str">
        <f>IF((M43&gt;=L43),"yes",IF(M43&gt;=(L43*0.9),"within 10%","no"))</f>
        <v>yes</v>
      </c>
      <c r="O43" s="14" t="str">
        <f>IF($F43='Contract Adjudication Notes'!$D$2,IF($D43='Contract Adjudication Notes'!$D$6,"Start up",IFERROR(VLOOKUP($B43&amp;'Contract Adjudication Notes'!$D$3,$A$2:$P$67,13,FALSE),"NA")),"")</f>
        <v/>
      </c>
      <c r="P43" s="14" t="str">
        <f>IF(AND($F43='Contract Adjudication Notes'!$D$2,OR(N43="no",N43="within 10%"),NOT($D43='Contract Adjudication Notes'!$D$6)),IF(((M43-O43)&gt;=5),IF(M43&gt;=(O43+((L43-O43)/2)),"yes","no"),"no")," ")</f>
        <v xml:space="preserve"> </v>
      </c>
      <c r="Q43" s="16" t="str">
        <f>IF($F43='Contract Adjudication Notes'!$D$2,COUNTIF(I43:P43, "yes"),"")</f>
        <v/>
      </c>
    </row>
    <row r="44" spans="1:17" x14ac:dyDescent="0.25">
      <c r="A44" s="16" t="str">
        <f>_xlfn.CONCAT(B44,F44)</f>
        <v>Wood River Health2017-Q3</v>
      </c>
      <c r="B44" s="19" t="s">
        <v>109</v>
      </c>
      <c r="C44" s="19" t="s">
        <v>20</v>
      </c>
      <c r="D44" s="39">
        <v>1</v>
      </c>
      <c r="E44" s="19" t="s">
        <v>18</v>
      </c>
      <c r="F44" s="19" t="s">
        <v>56</v>
      </c>
      <c r="G44" s="14">
        <v>76</v>
      </c>
      <c r="H44" s="14">
        <v>65</v>
      </c>
      <c r="I44" s="14" t="str">
        <f>IF((H44&gt;=G44),"yes",IF(H44&gt;=(G44*0.9),"within 10%","no"))</f>
        <v>no</v>
      </c>
      <c r="J44" s="14" t="str">
        <f>IF($F44='Contract Adjudication Notes'!$D$2,IF($D44='Contract Adjudication Notes'!$D$6,"Start up",IFERROR(VLOOKUP($B44&amp;'Contract Adjudication Notes'!$D$3,$A$2:$P$67,8,FALSE),"NA")),"")</f>
        <v/>
      </c>
      <c r="K44" s="14" t="str">
        <f>IF(AND($F44='Contract Adjudication Notes'!$D$2,NOT($D44='Contract Adjudication Notes'!$D$6),OR(I44="no",I44="within 10%")),IF(((H44-J44)&gt;=5),IF(H44&gt;=(J44+((G44-J44)/2)),"yes","no"),"no")," ")</f>
        <v xml:space="preserve"> </v>
      </c>
      <c r="L44" s="14">
        <v>75</v>
      </c>
      <c r="M44" s="14">
        <v>82</v>
      </c>
      <c r="N44" s="14" t="str">
        <f>IF((M44&gt;=L44),"yes",IF(M44&gt;=(L44*0.9),"within 10%","no"))</f>
        <v>yes</v>
      </c>
      <c r="O44" s="14" t="str">
        <f>IF($F44='Contract Adjudication Notes'!$D$2,IF($D44='Contract Adjudication Notes'!$D$6,"Start up",IFERROR(VLOOKUP($B44&amp;'Contract Adjudication Notes'!$D$3,$A$2:$P$67,13,FALSE),"NA")),"")</f>
        <v/>
      </c>
      <c r="P44" s="14" t="str">
        <f>IF(AND($F44='Contract Adjudication Notes'!$D$2,OR(N44="no",N44="within 10%"),NOT($D44='Contract Adjudication Notes'!$D$6)),IF(((M44-O44)&gt;=5),IF(M44&gt;=(O44+((L44-O44)/2)),"yes","no"),"no")," ")</f>
        <v xml:space="preserve"> </v>
      </c>
      <c r="Q44" s="16" t="str">
        <f>IF($F44='Contract Adjudication Notes'!$D$2,COUNTIF(I44:P44, "yes"),"")</f>
        <v/>
      </c>
    </row>
    <row r="45" spans="1:17" x14ac:dyDescent="0.25">
      <c r="A45" s="4" t="str">
        <f>_xlfn.CONCAT(B45,F45)</f>
        <v>Wood River Health2017-Q4</v>
      </c>
      <c r="B45" s="19" t="s">
        <v>109</v>
      </c>
      <c r="C45" s="19" t="s">
        <v>20</v>
      </c>
      <c r="D45" s="39">
        <v>1</v>
      </c>
      <c r="E45" s="19" t="s">
        <v>18</v>
      </c>
      <c r="F45" s="19" t="s">
        <v>57</v>
      </c>
      <c r="G45" s="14">
        <v>76</v>
      </c>
      <c r="H45" s="14">
        <v>70</v>
      </c>
      <c r="I45" s="14" t="str">
        <f>IF((H45&gt;=G45),"yes",IF(H45&gt;=(G45*0.9),"within 10%","no"))</f>
        <v>within 10%</v>
      </c>
      <c r="J45" s="14" t="str">
        <f>IF($F45='Contract Adjudication Notes'!$D$2,IF($D45='Contract Adjudication Notes'!$D$6,"Start up",IFERROR(VLOOKUP($B45&amp;'Contract Adjudication Notes'!$D$3,$A$2:$P$67,8,FALSE),"NA")),"")</f>
        <v/>
      </c>
      <c r="K45" s="14" t="str">
        <f>IF(AND($F45='Contract Adjudication Notes'!$D$2,NOT($D45='Contract Adjudication Notes'!$D$6),OR(I45="no",I45="within 10%")),IF(((H45-J45)&gt;=5),IF(H45&gt;=(J45+((G45-J45)/2)),"yes","no"),"no")," ")</f>
        <v xml:space="preserve"> </v>
      </c>
      <c r="L45" s="14">
        <v>75</v>
      </c>
      <c r="M45" s="14">
        <v>82</v>
      </c>
      <c r="N45" s="14" t="str">
        <f>IF((M45&gt;=L45),"yes",IF(M45&gt;=(L45*0.9),"within 10%","no"))</f>
        <v>yes</v>
      </c>
      <c r="O45" s="14" t="str">
        <f>IF($F45='Contract Adjudication Notes'!$D$2,IF($D45='Contract Adjudication Notes'!$D$6,"Start up",IFERROR(VLOOKUP($B45&amp;'Contract Adjudication Notes'!$D$3,$A$2:$P$67,13,FALSE),"NA")),"")</f>
        <v/>
      </c>
      <c r="P45" s="14" t="str">
        <f>IF(AND($F45='Contract Adjudication Notes'!$D$2,OR(N45="no",N45="within 10%"),NOT($D45='Contract Adjudication Notes'!$D$6)),IF(((M45-O45)&gt;=5),IF(M45&gt;=(O45+((L45-O45)/2)),"yes","no"),"no")," ")</f>
        <v xml:space="preserve"> </v>
      </c>
      <c r="Q45" s="16" t="str">
        <f>IF($F45='Contract Adjudication Notes'!$D$2,COUNTIF(I45:P45, "yes"),"")</f>
        <v/>
      </c>
    </row>
    <row r="46" spans="1:17" x14ac:dyDescent="0.25">
      <c r="A46" s="1" t="str">
        <f>_xlfn.CONCAT(B46,F46)</f>
        <v>Wood River Health2018-Q1</v>
      </c>
      <c r="B46" s="19" t="s">
        <v>109</v>
      </c>
      <c r="C46" s="19" t="s">
        <v>20</v>
      </c>
      <c r="D46" s="39">
        <v>1</v>
      </c>
      <c r="E46" s="19" t="s">
        <v>18</v>
      </c>
      <c r="F46" s="19" t="s">
        <v>58</v>
      </c>
      <c r="G46" s="14">
        <v>76</v>
      </c>
      <c r="H46" s="14">
        <v>80</v>
      </c>
      <c r="I46" s="14" t="str">
        <f>IF((H46&gt;=G46),"yes",IF(H46&gt;=(G46*0.9),"within 10%","no"))</f>
        <v>yes</v>
      </c>
      <c r="J46" s="14">
        <f>IF($F46='Contract Adjudication Notes'!$D$2,IF($D46='Contract Adjudication Notes'!$D$6,"Start up",IFERROR(VLOOKUP($B46&amp;'Contract Adjudication Notes'!$D$3,$A$2:$P$67,8,FALSE),"NA")),"")</f>
        <v>69</v>
      </c>
      <c r="K46" s="14" t="str">
        <f>IF(AND($F46='Contract Adjudication Notes'!$D$2,NOT($D46='Contract Adjudication Notes'!$D$6),OR(I46="no",I46="within 10%")),IF(((H46-J46)&gt;=5),IF(H46&gt;=(J46+((G46-J46)/2)),"yes","no"),"no")," ")</f>
        <v xml:space="preserve"> </v>
      </c>
      <c r="L46" s="14">
        <v>75</v>
      </c>
      <c r="M46" s="14">
        <v>80.83</v>
      </c>
      <c r="N46" s="14" t="str">
        <f>IF((M46&gt;=L46),"yes",IF(M46&gt;=(L46*0.9),"within 10%","no"))</f>
        <v>yes</v>
      </c>
      <c r="O46" s="14">
        <f>IF($F46='Contract Adjudication Notes'!$D$2,IF($D46='Contract Adjudication Notes'!$D$6,"Start up",IFERROR(VLOOKUP($B46&amp;'Contract Adjudication Notes'!$D$3,$A$2:$P$67,13,FALSE),"NA")),"")</f>
        <v>78</v>
      </c>
      <c r="P46" s="14" t="str">
        <f>IF(AND($F46='Contract Adjudication Notes'!$D$2,OR(N46="no",N46="within 10%"),NOT($D46='Contract Adjudication Notes'!$D$6)),IF(((M46-O46)&gt;=5),IF(M46&gt;=(O46+((L46-O46)/2)),"yes","no"),"no")," ")</f>
        <v xml:space="preserve"> </v>
      </c>
      <c r="Q46" s="16">
        <f>IF($F46='Contract Adjudication Notes'!$D$2,COUNTIF(I46:P46, "yes"),"")</f>
        <v>2</v>
      </c>
    </row>
    <row r="47" spans="1:17" x14ac:dyDescent="0.25">
      <c r="A47" s="1" t="str">
        <f>_xlfn.CONCAT(B47,F47)</f>
        <v>Aquidneck Pediatrics2017-Q4</v>
      </c>
      <c r="B47" s="19" t="s">
        <v>118</v>
      </c>
      <c r="C47" s="19" t="s">
        <v>29</v>
      </c>
      <c r="D47" s="39">
        <v>2</v>
      </c>
      <c r="E47" s="19" t="s">
        <v>27</v>
      </c>
      <c r="F47" s="19" t="s">
        <v>57</v>
      </c>
      <c r="G47" s="14">
        <v>76</v>
      </c>
      <c r="H47" s="14">
        <v>89.9</v>
      </c>
      <c r="I47" s="14" t="str">
        <f>IF((H47&gt;=G47),"yes",IF(H47&gt;=(G47*0.9),"within 10%","no"))</f>
        <v>yes</v>
      </c>
      <c r="J47" s="14" t="str">
        <f>IF($F47='Contract Adjudication Notes'!$D$2,IF($D47='Contract Adjudication Notes'!$D$6,"Start up",IFERROR(VLOOKUP($B47&amp;'Contract Adjudication Notes'!$D$3,$A$2:$P$67,8,FALSE),"NA")),"")</f>
        <v/>
      </c>
      <c r="K47" s="14" t="str">
        <f>IF(AND($F47='Contract Adjudication Notes'!$D$2,NOT($D47='Contract Adjudication Notes'!$D$6),OR(I47="no",I47="within 10%")),IF(((H47-J47)&gt;=5),IF(H47&gt;=(J47+((G47-J47)/2)),"yes","no"),"no")," ")</f>
        <v xml:space="preserve"> </v>
      </c>
      <c r="L47" s="14">
        <v>75</v>
      </c>
      <c r="M47" s="14">
        <v>83.13</v>
      </c>
      <c r="N47" s="14" t="str">
        <f>IF((M47&gt;=L47),"yes",IF(M47&gt;=(L47*0.9),"within 10%","no"))</f>
        <v>yes</v>
      </c>
      <c r="O47" s="14" t="str">
        <f>IF($F47='Contract Adjudication Notes'!$D$2,IF($D47='Contract Adjudication Notes'!$D$6,"Start up",IFERROR(VLOOKUP($B47&amp;'Contract Adjudication Notes'!$D$3,$A$2:$P$67,13,FALSE),"NA")),"")</f>
        <v/>
      </c>
      <c r="P47" s="14" t="str">
        <f>IF(AND($F47='Contract Adjudication Notes'!$D$2,OR(N47="no",N47="within 10%"),NOT($D47='Contract Adjudication Notes'!$D$6)),IF(((M47-O47)&gt;=5),IF(M47&gt;=(O47+((L47-O47)/2)),"yes","no"),"no")," ")</f>
        <v xml:space="preserve"> </v>
      </c>
      <c r="Q47" s="16" t="str">
        <f>IF($F47='Contract Adjudication Notes'!$D$2,COUNTIF(I47:P47, "yes"),"")</f>
        <v/>
      </c>
    </row>
    <row r="48" spans="1:17" x14ac:dyDescent="0.25">
      <c r="A48" s="16" t="str">
        <f>_xlfn.CONCAT(B48,F48)</f>
        <v>Aquidneck Pediatrics2018-Q1</v>
      </c>
      <c r="B48" s="19" t="s">
        <v>118</v>
      </c>
      <c r="C48" s="19" t="s">
        <v>29</v>
      </c>
      <c r="D48" s="39">
        <v>2</v>
      </c>
      <c r="E48" s="19" t="s">
        <v>30</v>
      </c>
      <c r="F48" s="19" t="s">
        <v>58</v>
      </c>
      <c r="G48" s="14">
        <v>76</v>
      </c>
      <c r="H48" s="14">
        <v>90.27</v>
      </c>
      <c r="I48" s="14" t="str">
        <f>IF((H48&gt;=G48),"yes",IF(H48&gt;=(G48*0.9),"within 10%","no"))</f>
        <v>yes</v>
      </c>
      <c r="J48" s="14" t="str">
        <f>IF($F48='Contract Adjudication Notes'!$D$2,IF($D48='Contract Adjudication Notes'!$D$6,"Start up",IFERROR(VLOOKUP($B48&amp;'Contract Adjudication Notes'!$D$3,$A$2:$P$67,8,FALSE),"NA")),"")</f>
        <v>Start up</v>
      </c>
      <c r="K48" s="14" t="str">
        <f>IF(AND($F48='Contract Adjudication Notes'!$D$2,NOT($D48='Contract Adjudication Notes'!$D$6),OR(I48="no",I48="within 10%")),IF(((H48-J48)&gt;=5),IF(H48&gt;=(J48+((G48-J48)/2)),"yes","no"),"no")," ")</f>
        <v xml:space="preserve"> </v>
      </c>
      <c r="L48" s="14">
        <v>75</v>
      </c>
      <c r="M48" s="14">
        <v>82.46</v>
      </c>
      <c r="N48" s="14" t="str">
        <f>IF((M48&gt;=L48),"yes",IF(M48&gt;=(L48*0.9),"within 10%","no"))</f>
        <v>yes</v>
      </c>
      <c r="O48" s="14" t="str">
        <f>IF($F48='Contract Adjudication Notes'!$D$2,IF($D48='Contract Adjudication Notes'!$D$6,"Start up",IFERROR(VLOOKUP($B48&amp;'Contract Adjudication Notes'!$D$3,$A$2:$P$67,13,FALSE),"NA")),"")</f>
        <v>Start up</v>
      </c>
      <c r="P48" s="14" t="str">
        <f>IF(AND($F48='Contract Adjudication Notes'!$D$2,OR(N48="no",N48="within 10%"),NOT($D48='Contract Adjudication Notes'!$D$6)),IF(((M48-O48)&gt;=5),IF(M48&gt;=(O48+((L48-O48)/2)),"yes","no"),"no")," ")</f>
        <v xml:space="preserve"> </v>
      </c>
      <c r="Q48" s="16">
        <f>IF($F48='Contract Adjudication Notes'!$D$2,COUNTIF(I48:P48, "yes"),"")</f>
        <v>2</v>
      </c>
    </row>
    <row r="49" spans="1:17" x14ac:dyDescent="0.25">
      <c r="A49" s="8" t="str">
        <f>_xlfn.CONCAT(B49,F49)</f>
        <v>Barrington Family Medicine2018-Q1</v>
      </c>
      <c r="B49" s="19" t="s">
        <v>25</v>
      </c>
      <c r="C49" s="19" t="s">
        <v>20</v>
      </c>
      <c r="D49" s="39">
        <v>2</v>
      </c>
      <c r="E49" s="19" t="s">
        <v>18</v>
      </c>
      <c r="F49" s="19" t="s">
        <v>58</v>
      </c>
      <c r="G49" s="7">
        <v>76</v>
      </c>
      <c r="H49" s="14">
        <v>53.28</v>
      </c>
      <c r="I49" s="14" t="str">
        <f>IF((H49&gt;=G49),"yes",IF(H49&gt;=(G49*0.9),"within 10%","no"))</f>
        <v>no</v>
      </c>
      <c r="J49" s="14" t="str">
        <f>IF($F49='Contract Adjudication Notes'!$D$2,IF($D49='Contract Adjudication Notes'!$D$6,"Start up",IFERROR(VLOOKUP($B49&amp;'Contract Adjudication Notes'!$D$3,$A$2:$P$67,8,FALSE),"NA")),"")</f>
        <v>Start up</v>
      </c>
      <c r="K49" s="14" t="str">
        <f>IF(AND($F49='Contract Adjudication Notes'!$D$2,NOT($D49='Contract Adjudication Notes'!$D$6),OR(I49="no",I49="within 10%")),IF(((H49-J49)&gt;=5),IF(H49&gt;=(J49+((G49-J49)/2)),"yes","no"),"no")," ")</f>
        <v xml:space="preserve"> </v>
      </c>
      <c r="L49" s="7">
        <v>75</v>
      </c>
      <c r="M49" s="14">
        <v>60.87</v>
      </c>
      <c r="N49" s="14" t="str">
        <f>IF((M49&gt;=L49),"yes",IF(M49&gt;=(L49*0.9),"within 10%","no"))</f>
        <v>no</v>
      </c>
      <c r="O49" s="14" t="str">
        <f>IF($F49='Contract Adjudication Notes'!$D$2,IF($D49='Contract Adjudication Notes'!$D$6,"Start up",IFERROR(VLOOKUP($B49&amp;'Contract Adjudication Notes'!$D$3,$A$2:$P$67,13,FALSE),"NA")),"")</f>
        <v>Start up</v>
      </c>
      <c r="P49" s="14" t="str">
        <f>IF(AND($F49='Contract Adjudication Notes'!$D$2,OR(N49="no",N49="within 10%"),NOT($D49='Contract Adjudication Notes'!$D$6)),IF(((M49-O49)&gt;=5),IF(M49&gt;=(O49+((L49-O49)/2)),"yes","no"),"no")," ")</f>
        <v xml:space="preserve"> </v>
      </c>
      <c r="Q49" s="16">
        <f>IF($F49='Contract Adjudication Notes'!$D$2,COUNTIF(I49:P49, "yes"),"")</f>
        <v>0</v>
      </c>
    </row>
    <row r="50" spans="1:17" x14ac:dyDescent="0.25">
      <c r="A50" s="4" t="str">
        <f>_xlfn.CONCAT(B50,F50)</f>
        <v>Barrington Pediatrics2017-Q4</v>
      </c>
      <c r="B50" s="19" t="s">
        <v>115</v>
      </c>
      <c r="C50" s="19" t="s">
        <v>20</v>
      </c>
      <c r="D50" s="39">
        <v>2</v>
      </c>
      <c r="E50" s="19" t="s">
        <v>27</v>
      </c>
      <c r="F50" s="19" t="s">
        <v>57</v>
      </c>
      <c r="G50" s="14">
        <v>76</v>
      </c>
      <c r="H50" s="14">
        <v>95.55</v>
      </c>
      <c r="I50" s="14" t="str">
        <f>IF((H50&gt;=G50),"yes",IF(H50&gt;=(G50*0.9),"within 10%","no"))</f>
        <v>yes</v>
      </c>
      <c r="J50" s="14" t="str">
        <f>IF($F50='Contract Adjudication Notes'!$D$2,IF($D50='Contract Adjudication Notes'!$D$6,"Start up",IFERROR(VLOOKUP($B50&amp;'Contract Adjudication Notes'!$D$3,$A$2:$P$67,8,FALSE),"NA")),"")</f>
        <v/>
      </c>
      <c r="K50" s="14" t="str">
        <f>IF(AND($F50='Contract Adjudication Notes'!$D$2,NOT($D50='Contract Adjudication Notes'!$D$6),OR(I50="no",I50="within 10%")),IF(((H50-J50)&gt;=5),IF(H50&gt;=(J50+((G50-J50)/2)),"yes","no"),"no")," ")</f>
        <v xml:space="preserve"> </v>
      </c>
      <c r="L50" s="14">
        <v>75</v>
      </c>
      <c r="M50" s="14">
        <v>85.43</v>
      </c>
      <c r="N50" s="14" t="str">
        <f>IF((M50&gt;=L50),"yes",IF(M50&gt;=(L50*0.9),"within 10%","no"))</f>
        <v>yes</v>
      </c>
      <c r="O50" s="14" t="str">
        <f>IF($F50='Contract Adjudication Notes'!$D$2,IF($D50='Contract Adjudication Notes'!$D$6,"Start up",IFERROR(VLOOKUP($B50&amp;'Contract Adjudication Notes'!$D$3,$A$2:$P$67,13,FALSE),"NA")),"")</f>
        <v/>
      </c>
      <c r="P50" s="14" t="str">
        <f>IF(AND($F50='Contract Adjudication Notes'!$D$2,OR(N50="no",N50="within 10%"),NOT($D50='Contract Adjudication Notes'!$D$6)),IF(((M50-O50)&gt;=5),IF(M50&gt;=(O50+((L50-O50)/2)),"yes","no"),"no")," ")</f>
        <v xml:space="preserve"> </v>
      </c>
      <c r="Q50" s="16" t="str">
        <f>IF($F50='Contract Adjudication Notes'!$D$2,COUNTIF(I50:P50, "yes"),"")</f>
        <v/>
      </c>
    </row>
    <row r="51" spans="1:17" x14ac:dyDescent="0.25">
      <c r="A51" s="4" t="str">
        <f>_xlfn.CONCAT(B51,F51)</f>
        <v>Barrington Pediatrics2018-Q1</v>
      </c>
      <c r="B51" s="19" t="s">
        <v>115</v>
      </c>
      <c r="C51" s="19" t="s">
        <v>20</v>
      </c>
      <c r="D51" s="39">
        <v>2</v>
      </c>
      <c r="E51" s="19" t="s">
        <v>30</v>
      </c>
      <c r="F51" s="19" t="s">
        <v>58</v>
      </c>
      <c r="G51" s="14">
        <v>76</v>
      </c>
      <c r="H51" s="14">
        <v>96.61</v>
      </c>
      <c r="I51" s="14" t="str">
        <f>IF((H51&gt;=G51),"yes",IF(H51&gt;=(G51*0.9),"within 10%","no"))</f>
        <v>yes</v>
      </c>
      <c r="J51" s="14" t="str">
        <f>IF($F51='Contract Adjudication Notes'!$D$2,IF($D51='Contract Adjudication Notes'!$D$6,"Start up",IFERROR(VLOOKUP($B51&amp;'Contract Adjudication Notes'!$D$3,$A$2:$P$67,8,FALSE),"NA")),"")</f>
        <v>Start up</v>
      </c>
      <c r="K51" s="14" t="str">
        <f>IF(AND($F51='Contract Adjudication Notes'!$D$2,NOT($D51='Contract Adjudication Notes'!$D$6),OR(I51="no",I51="within 10%")),IF(((H51-J51)&gt;=5),IF(H51&gt;=(J51+((G51-J51)/2)),"yes","no"),"no")," ")</f>
        <v xml:space="preserve"> </v>
      </c>
      <c r="L51" s="14">
        <v>75</v>
      </c>
      <c r="M51" s="14">
        <v>84.58</v>
      </c>
      <c r="N51" s="14" t="str">
        <f>IF((M51&gt;=L51),"yes",IF(M51&gt;=(L51*0.9),"within 10%","no"))</f>
        <v>yes</v>
      </c>
      <c r="O51" s="14" t="str">
        <f>IF($F51='Contract Adjudication Notes'!$D$2,IF($D51='Contract Adjudication Notes'!$D$6,"Start up",IFERROR(VLOOKUP($B51&amp;'Contract Adjudication Notes'!$D$3,$A$2:$P$67,13,FALSE),"NA")),"")</f>
        <v>Start up</v>
      </c>
      <c r="P51" s="14" t="str">
        <f>IF(AND($F51='Contract Adjudication Notes'!$D$2,OR(N51="no",N51="within 10%"),NOT($D51='Contract Adjudication Notes'!$D$6)),IF(((M51-O51)&gt;=5),IF(M51&gt;=(O51+((L51-O51)/2)),"yes","no"),"no")," ")</f>
        <v xml:space="preserve"> </v>
      </c>
      <c r="Q51" s="16">
        <f>IF($F51='Contract Adjudication Notes'!$D$2,COUNTIF(I51:P51, "yes"),"")</f>
        <v>2</v>
      </c>
    </row>
    <row r="52" spans="1:17" ht="26.25" x14ac:dyDescent="0.25">
      <c r="A52" s="1" t="str">
        <f>_xlfn.CONCAT(B52,F52)</f>
        <v>Children's Medical Group (University Pediatrics)2017-Q4</v>
      </c>
      <c r="B52" s="19" t="s">
        <v>100</v>
      </c>
      <c r="C52" s="19" t="s">
        <v>29</v>
      </c>
      <c r="D52" s="39">
        <v>2</v>
      </c>
      <c r="E52" s="19" t="s">
        <v>27</v>
      </c>
      <c r="F52" s="19" t="s">
        <v>57</v>
      </c>
      <c r="G52" s="14">
        <v>76</v>
      </c>
      <c r="H52" s="14">
        <v>98.71</v>
      </c>
      <c r="I52" s="14" t="str">
        <f>IF((H52&gt;=G52),"yes",IF(H52&gt;=(G52*0.9),"within 10%","no"))</f>
        <v>yes</v>
      </c>
      <c r="J52" s="14" t="str">
        <f>IF($F52='Contract Adjudication Notes'!$D$2,IF($D52='Contract Adjudication Notes'!$D$6,"Start up",IFERROR(VLOOKUP($B52&amp;'Contract Adjudication Notes'!$D$3,$A$2:$P$67,8,FALSE),"NA")),"")</f>
        <v/>
      </c>
      <c r="K52" s="14" t="str">
        <f>IF(AND($F52='Contract Adjudication Notes'!$D$2,NOT($D52='Contract Adjudication Notes'!$D$6),OR(I52="no",I52="within 10%")),IF(((H52-J52)&gt;=5),IF(H52&gt;=(J52+((G52-J52)/2)),"yes","no"),"no")," ")</f>
        <v xml:space="preserve"> </v>
      </c>
      <c r="L52" s="14">
        <v>75</v>
      </c>
      <c r="M52" s="14">
        <v>99</v>
      </c>
      <c r="N52" s="14" t="str">
        <f>IF((M52&gt;=L52),"yes",IF(M52&gt;=(L52*0.9),"within 10%","no"))</f>
        <v>yes</v>
      </c>
      <c r="O52" s="14" t="str">
        <f>IF($F52='Contract Adjudication Notes'!$D$2,IF($D52='Contract Adjudication Notes'!$D$6,"Start up",IFERROR(VLOOKUP($B52&amp;'Contract Adjudication Notes'!$D$3,$A$2:$P$67,13,FALSE),"NA")),"")</f>
        <v/>
      </c>
      <c r="P52" s="14" t="str">
        <f>IF(AND($F52='Contract Adjudication Notes'!$D$2,OR(N52="no",N52="within 10%"),NOT($D52='Contract Adjudication Notes'!$D$6)),IF(((M52-O52)&gt;=5),IF(M52&gt;=(O52+((L52-O52)/2)),"yes","no"),"no")," ")</f>
        <v xml:space="preserve"> </v>
      </c>
      <c r="Q52" s="16" t="str">
        <f>IF($F52='Contract Adjudication Notes'!$D$2,COUNTIF(I52:P52, "yes"),"")</f>
        <v/>
      </c>
    </row>
    <row r="53" spans="1:17" ht="26.25" x14ac:dyDescent="0.25">
      <c r="A53" s="1" t="str">
        <f>_xlfn.CONCAT(B53,F53)</f>
        <v>Children's Medical Group (University Pediatrics)2018-Q1</v>
      </c>
      <c r="B53" s="19" t="s">
        <v>100</v>
      </c>
      <c r="C53" s="19" t="s">
        <v>29</v>
      </c>
      <c r="D53" s="39">
        <v>2</v>
      </c>
      <c r="E53" s="19" t="s">
        <v>18</v>
      </c>
      <c r="F53" s="19" t="s">
        <v>58</v>
      </c>
      <c r="G53" s="14">
        <v>76</v>
      </c>
      <c r="H53" s="14">
        <v>91.77</v>
      </c>
      <c r="I53" s="14" t="str">
        <f>IF((H53&gt;=G53),"yes",IF(H53&gt;=(G53*0.9),"within 10%","no"))</f>
        <v>yes</v>
      </c>
      <c r="J53" s="14" t="str">
        <f>IF($F53='Contract Adjudication Notes'!$D$2,IF($D53='Contract Adjudication Notes'!$D$6,"Start up",IFERROR(VLOOKUP($B53&amp;'Contract Adjudication Notes'!$D$3,$A$2:$P$67,8,FALSE),"NA")),"")</f>
        <v>Start up</v>
      </c>
      <c r="K53" s="14" t="str">
        <f>IF(AND($F53='Contract Adjudication Notes'!$D$2,NOT($D53='Contract Adjudication Notes'!$D$6),OR(I53="no",I53="within 10%")),IF(((H53-J53)&gt;=5),IF(H53&gt;=(J53+((G53-J53)/2)),"yes","no"),"no")," ")</f>
        <v xml:space="preserve"> </v>
      </c>
      <c r="L53" s="14">
        <v>75</v>
      </c>
      <c r="M53" s="14">
        <v>98.38</v>
      </c>
      <c r="N53" s="14" t="str">
        <f>IF((M53&gt;=L53),"yes",IF(M53&gt;=(L53*0.9),"within 10%","no"))</f>
        <v>yes</v>
      </c>
      <c r="O53" s="14" t="str">
        <f>IF($F53='Contract Adjudication Notes'!$D$2,IF($D53='Contract Adjudication Notes'!$D$6,"Start up",IFERROR(VLOOKUP($B53&amp;'Contract Adjudication Notes'!$D$3,$A$2:$P$67,13,FALSE),"NA")),"")</f>
        <v>Start up</v>
      </c>
      <c r="P53" s="14" t="str">
        <f>IF(AND($F53='Contract Adjudication Notes'!$D$2,OR(N53="no",N53="within 10%"),NOT($D53='Contract Adjudication Notes'!$D$6)),IF(((M53-O53)&gt;=5),IF(M53&gt;=(O53+((L53-O53)/2)),"yes","no"),"no")," ")</f>
        <v xml:space="preserve"> </v>
      </c>
      <c r="Q53" s="16">
        <f>IF($F53='Contract Adjudication Notes'!$D$2,COUNTIF(I53:P53, "yes"),"")</f>
        <v>2</v>
      </c>
    </row>
    <row r="54" spans="1:17" x14ac:dyDescent="0.25">
      <c r="A54" s="16" t="str">
        <f>_xlfn.CONCAT(B54,F54)</f>
        <v>Coastal Bald Hill Pediatrics2017-Q4</v>
      </c>
      <c r="B54" s="19" t="s">
        <v>110</v>
      </c>
      <c r="C54" s="19" t="s">
        <v>20</v>
      </c>
      <c r="D54" s="39">
        <v>2</v>
      </c>
      <c r="E54" s="19" t="s">
        <v>30</v>
      </c>
      <c r="F54" s="19" t="s">
        <v>57</v>
      </c>
      <c r="G54" s="14">
        <v>76</v>
      </c>
      <c r="H54" s="14">
        <v>91.86</v>
      </c>
      <c r="I54" s="14" t="str">
        <f>IF((H54&gt;=G54),"yes",IF(H54&gt;=(G54*0.9),"within 10%","no"))</f>
        <v>yes</v>
      </c>
      <c r="J54" s="14" t="str">
        <f>IF($F54='Contract Adjudication Notes'!$D$2,IF($D54='Contract Adjudication Notes'!$D$6,"Start up",IFERROR(VLOOKUP($B54&amp;'Contract Adjudication Notes'!$D$3,$A$2:$P$67,8,FALSE),"NA")),"")</f>
        <v/>
      </c>
      <c r="K54" s="14" t="str">
        <f>IF(AND($F54='Contract Adjudication Notes'!$D$2,NOT($D54='Contract Adjudication Notes'!$D$6),OR(I54="no",I54="within 10%")),IF(((H54-J54)&gt;=5),IF(H54&gt;=(J54+((G54-J54)/2)),"yes","no"),"no")," ")</f>
        <v xml:space="preserve"> </v>
      </c>
      <c r="L54" s="14">
        <v>75</v>
      </c>
      <c r="M54" s="14">
        <v>81.099999999999994</v>
      </c>
      <c r="N54" s="14" t="str">
        <f>IF((M54&gt;=L54),"yes",IF(M54&gt;=(L54*0.9),"within 10%","no"))</f>
        <v>yes</v>
      </c>
      <c r="O54" s="14" t="str">
        <f>IF($F54='Contract Adjudication Notes'!$D$2,IF($D54='Contract Adjudication Notes'!$D$6,"Start up",IFERROR(VLOOKUP($B54&amp;'Contract Adjudication Notes'!$D$3,$A$2:$P$67,13,FALSE),"NA")),"")</f>
        <v/>
      </c>
      <c r="P54" s="14" t="str">
        <f>IF(AND($F54='Contract Adjudication Notes'!$D$2,OR(N54="no",N54="within 10%"),NOT($D54='Contract Adjudication Notes'!$D$6)),IF(((M54-O54)&gt;=5),IF(M54&gt;=(O54+((L54-O54)/2)),"yes","no"),"no")," ")</f>
        <v xml:space="preserve"> </v>
      </c>
      <c r="Q54" s="16" t="str">
        <f>IF($F54='Contract Adjudication Notes'!$D$2,COUNTIF(I54:P54, "yes"),"")</f>
        <v/>
      </c>
    </row>
    <row r="55" spans="1:17" x14ac:dyDescent="0.25">
      <c r="A55" s="16" t="str">
        <f>_xlfn.CONCAT(B55,F55)</f>
        <v>Coastal Bald Hill Pediatrics2018-Q1</v>
      </c>
      <c r="B55" s="19" t="s">
        <v>110</v>
      </c>
      <c r="C55" s="19" t="s">
        <v>20</v>
      </c>
      <c r="D55" s="39">
        <v>2</v>
      </c>
      <c r="E55" s="19" t="s">
        <v>18</v>
      </c>
      <c r="F55" s="19" t="s">
        <v>58</v>
      </c>
      <c r="G55" s="14">
        <v>76</v>
      </c>
      <c r="H55" s="14">
        <v>93.85</v>
      </c>
      <c r="I55" s="14" t="str">
        <f>IF((H55&gt;=G55),"yes",IF(H55&gt;=(G55*0.9),"within 10%","no"))</f>
        <v>yes</v>
      </c>
      <c r="J55" s="14" t="str">
        <f>IF($F55='Contract Adjudication Notes'!$D$2,IF($D55='Contract Adjudication Notes'!$D$6,"Start up",IFERROR(VLOOKUP($B55&amp;'Contract Adjudication Notes'!$D$3,$A$2:$P$67,8,FALSE),"NA")),"")</f>
        <v>Start up</v>
      </c>
      <c r="K55" s="14" t="str">
        <f>IF(AND($F55='Contract Adjudication Notes'!$D$2,NOT($D55='Contract Adjudication Notes'!$D$6),OR(I55="no",I55="within 10%")),IF(((H55-J55)&gt;=5),IF(H55&gt;=(J55+((G55-J55)/2)),"yes","no"),"no")," ")</f>
        <v xml:space="preserve"> </v>
      </c>
      <c r="L55" s="14">
        <v>75</v>
      </c>
      <c r="M55" s="14">
        <v>80.489999999999995</v>
      </c>
      <c r="N55" s="14" t="str">
        <f>IF((M55&gt;=L55),"yes",IF(M55&gt;=(L55*0.9),"within 10%","no"))</f>
        <v>yes</v>
      </c>
      <c r="O55" s="14" t="str">
        <f>IF($F55='Contract Adjudication Notes'!$D$2,IF($D55='Contract Adjudication Notes'!$D$6,"Start up",IFERROR(VLOOKUP($B55&amp;'Contract Adjudication Notes'!$D$3,$A$2:$P$67,13,FALSE),"NA")),"")</f>
        <v>Start up</v>
      </c>
      <c r="P55" s="14" t="str">
        <f>IF(AND($F55='Contract Adjudication Notes'!$D$2,OR(N55="no",N55="within 10%"),NOT($D55='Contract Adjudication Notes'!$D$6)),IF(((M55-O55)&gt;=5),IF(M55&gt;=(O55+((L55-O55)/2)),"yes","no"),"no")," ")</f>
        <v xml:space="preserve"> </v>
      </c>
      <c r="Q55" s="16">
        <f>IF($F55='Contract Adjudication Notes'!$D$2,COUNTIF(I55:P55, "yes"),"")</f>
        <v>2</v>
      </c>
    </row>
    <row r="56" spans="1:17" x14ac:dyDescent="0.25">
      <c r="A56" s="1" t="str">
        <f>_xlfn.CONCAT(B56,F56)</f>
        <v>Coastal Toll Gate Pediatrics2017-Q4</v>
      </c>
      <c r="B56" s="19" t="s">
        <v>112</v>
      </c>
      <c r="C56" s="19" t="s">
        <v>20</v>
      </c>
      <c r="D56" s="39">
        <v>2</v>
      </c>
      <c r="E56" s="19" t="s">
        <v>30</v>
      </c>
      <c r="F56" s="19" t="s">
        <v>57</v>
      </c>
      <c r="G56" s="14">
        <v>76</v>
      </c>
      <c r="H56" s="14">
        <v>96.52</v>
      </c>
      <c r="I56" s="14" t="str">
        <f>IF((H56&gt;=G56),"yes",IF(H56&gt;=(G56*0.9),"within 10%","no"))</f>
        <v>yes</v>
      </c>
      <c r="J56" s="14" t="str">
        <f>IF($F56='Contract Adjudication Notes'!$D$2,IF($D56='Contract Adjudication Notes'!$D$6,"Start up",IFERROR(VLOOKUP($B56&amp;'Contract Adjudication Notes'!$D$3,$A$2:$P$67,8,FALSE),"NA")),"")</f>
        <v/>
      </c>
      <c r="K56" s="14" t="str">
        <f>IF(AND($F56='Contract Adjudication Notes'!$D$2,NOT($D56='Contract Adjudication Notes'!$D$6),OR(I56="no",I56="within 10%")),IF(((H56-J56)&gt;=5),IF(H56&gt;=(J56+((G56-J56)/2)),"yes","no"),"no")," ")</f>
        <v xml:space="preserve"> </v>
      </c>
      <c r="L56" s="14">
        <v>75</v>
      </c>
      <c r="M56" s="14">
        <v>87.87</v>
      </c>
      <c r="N56" s="14" t="str">
        <f>IF((M56&gt;=L56),"yes",IF(M56&gt;=(L56*0.9),"within 10%","no"))</f>
        <v>yes</v>
      </c>
      <c r="O56" s="14" t="str">
        <f>IF($F56='Contract Adjudication Notes'!$D$2,IF($D56='Contract Adjudication Notes'!$D$6,"Start up",IFERROR(VLOOKUP($B56&amp;'Contract Adjudication Notes'!$D$3,$A$2:$P$67,13,FALSE),"NA")),"")</f>
        <v/>
      </c>
      <c r="P56" s="14" t="str">
        <f>IF(AND($F56='Contract Adjudication Notes'!$D$2,OR(N56="no",N56="within 10%"),NOT($D56='Contract Adjudication Notes'!$D$6)),IF(((M56-O56)&gt;=5),IF(M56&gt;=(O56+((L56-O56)/2)),"yes","no"),"no")," ")</f>
        <v xml:space="preserve"> </v>
      </c>
      <c r="Q56" s="16" t="str">
        <f>IF($F56='Contract Adjudication Notes'!$D$2,COUNTIF(I56:P56, "yes"),"")</f>
        <v/>
      </c>
    </row>
    <row r="57" spans="1:17" x14ac:dyDescent="0.25">
      <c r="A57" s="4" t="str">
        <f>_xlfn.CONCAT(B57,F57)</f>
        <v>Coastal Toll Gate Pediatrics2018-Q1</v>
      </c>
      <c r="B57" s="19" t="s">
        <v>112</v>
      </c>
      <c r="C57" s="19" t="s">
        <v>20</v>
      </c>
      <c r="D57" s="39">
        <v>2</v>
      </c>
      <c r="E57" s="19" t="s">
        <v>30</v>
      </c>
      <c r="F57" s="19" t="s">
        <v>58</v>
      </c>
      <c r="G57" s="14">
        <v>76</v>
      </c>
      <c r="H57" s="14">
        <v>95.27</v>
      </c>
      <c r="I57" s="14" t="str">
        <f>IF((H57&gt;=G57),"yes",IF(H57&gt;=(G57*0.9),"within 10%","no"))</f>
        <v>yes</v>
      </c>
      <c r="J57" s="14" t="str">
        <f>IF($F57='Contract Adjudication Notes'!$D$2,IF($D57='Contract Adjudication Notes'!$D$6,"Start up",IFERROR(VLOOKUP($B57&amp;'Contract Adjudication Notes'!$D$3,$A$2:$P$67,8,FALSE),"NA")),"")</f>
        <v>Start up</v>
      </c>
      <c r="K57" s="14" t="str">
        <f>IF(AND($F57='Contract Adjudication Notes'!$D$2,NOT($D57='Contract Adjudication Notes'!$D$6),OR(I57="no",I57="within 10%")),IF(((H57-J57)&gt;=5),IF(H57&gt;=(J57+((G57-J57)/2)),"yes","no"),"no")," ")</f>
        <v xml:space="preserve"> </v>
      </c>
      <c r="L57" s="14">
        <v>75</v>
      </c>
      <c r="M57" s="14">
        <v>88.73</v>
      </c>
      <c r="N57" s="14" t="str">
        <f>IF((M57&gt;=L57),"yes",IF(M57&gt;=(L57*0.9),"within 10%","no"))</f>
        <v>yes</v>
      </c>
      <c r="O57" s="14" t="str">
        <f>IF($F57='Contract Adjudication Notes'!$D$2,IF($D57='Contract Adjudication Notes'!$D$6,"Start up",IFERROR(VLOOKUP($B57&amp;'Contract Adjudication Notes'!$D$3,$A$2:$P$67,13,FALSE),"NA")),"")</f>
        <v>Start up</v>
      </c>
      <c r="P57" s="14" t="str">
        <f>IF(AND($F57='Contract Adjudication Notes'!$D$2,OR(N57="no",N57="within 10%"),NOT($D57='Contract Adjudication Notes'!$D$6)),IF(((M57-O57)&gt;=5),IF(M57&gt;=(O57+((L57-O57)/2)),"yes","no"),"no")," ")</f>
        <v xml:space="preserve"> </v>
      </c>
      <c r="Q57" s="16">
        <f>IF($F57='Contract Adjudication Notes'!$D$2,COUNTIF(I57:P57, "yes"),"")</f>
        <v>2</v>
      </c>
    </row>
    <row r="58" spans="1:17" x14ac:dyDescent="0.25">
      <c r="A58" s="4" t="str">
        <f>_xlfn.CONCAT(B58,F58)</f>
        <v>Cranston (Park) Pediatrics2017-Q4</v>
      </c>
      <c r="B58" s="19" t="s">
        <v>111</v>
      </c>
      <c r="C58" s="19" t="s">
        <v>29</v>
      </c>
      <c r="D58" s="39">
        <v>2</v>
      </c>
      <c r="E58" s="19" t="s">
        <v>27</v>
      </c>
      <c r="F58" s="19" t="s">
        <v>57</v>
      </c>
      <c r="G58" s="14">
        <v>76</v>
      </c>
      <c r="H58" s="14">
        <v>99</v>
      </c>
      <c r="I58" s="14" t="str">
        <f>IF((H58&gt;=G58),"yes",IF(H58&gt;=(G58*0.9),"within 10%","no"))</f>
        <v>yes</v>
      </c>
      <c r="J58" s="14" t="str">
        <f>IF($F58='Contract Adjudication Notes'!$D$2,IF($D58='Contract Adjudication Notes'!$D$6,"Start up",IFERROR(VLOOKUP($B58&amp;'Contract Adjudication Notes'!$D$3,$A$2:$P$67,8,FALSE),"NA")),"")</f>
        <v/>
      </c>
      <c r="K58" s="14" t="str">
        <f>IF(AND($F58='Contract Adjudication Notes'!$D$2,NOT($D58='Contract Adjudication Notes'!$D$6),OR(I58="no",I58="within 10%")),IF(((H58-J58)&gt;=5),IF(H58&gt;=(J58+((G58-J58)/2)),"yes","no"),"no")," ")</f>
        <v xml:space="preserve"> </v>
      </c>
      <c r="L58" s="14">
        <v>75</v>
      </c>
      <c r="M58" s="14">
        <v>87.5</v>
      </c>
      <c r="N58" s="14" t="str">
        <f>IF((M58&gt;=L58),"yes",IF(M58&gt;=(L58*0.9),"within 10%","no"))</f>
        <v>yes</v>
      </c>
      <c r="O58" s="14" t="str">
        <f>IF($F58='Contract Adjudication Notes'!$D$2,IF($D58='Contract Adjudication Notes'!$D$6,"Start up",IFERROR(VLOOKUP($B58&amp;'Contract Adjudication Notes'!$D$3,$A$2:$P$67,13,FALSE),"NA")),"")</f>
        <v/>
      </c>
      <c r="P58" s="14" t="str">
        <f>IF(AND($F58='Contract Adjudication Notes'!$D$2,OR(N58="no",N58="within 10%"),NOT($D58='Contract Adjudication Notes'!$D$6)),IF(((M58-O58)&gt;=5),IF(M58&gt;=(O58+((L58-O58)/2)),"yes","no"),"no")," ")</f>
        <v xml:space="preserve"> </v>
      </c>
      <c r="Q58" s="16" t="str">
        <f>IF($F58='Contract Adjudication Notes'!$D$2,COUNTIF(I58:P58, "yes"),"")</f>
        <v/>
      </c>
    </row>
    <row r="59" spans="1:17" x14ac:dyDescent="0.25">
      <c r="A59" s="16" t="str">
        <f>_xlfn.CONCAT(B59,F59)</f>
        <v>Cranston (Park) Pediatrics2018-Q1</v>
      </c>
      <c r="B59" s="19" t="s">
        <v>111</v>
      </c>
      <c r="C59" s="19" t="s">
        <v>29</v>
      </c>
      <c r="D59" s="39">
        <v>2</v>
      </c>
      <c r="E59" s="19" t="s">
        <v>30</v>
      </c>
      <c r="F59" s="19" t="s">
        <v>58</v>
      </c>
      <c r="G59" s="14">
        <v>76</v>
      </c>
      <c r="H59" s="14">
        <v>1.98</v>
      </c>
      <c r="I59" s="14" t="str">
        <f>IF((H59&gt;=G59),"yes",IF(H59&gt;=(G59*0.9),"within 10%","no"))</f>
        <v>no</v>
      </c>
      <c r="J59" s="14" t="str">
        <f>IF($F59='Contract Adjudication Notes'!$D$2,IF($D59='Contract Adjudication Notes'!$D$6,"Start up",IFERROR(VLOOKUP($B59&amp;'Contract Adjudication Notes'!$D$3,$A$2:$P$67,8,FALSE),"NA")),"")</f>
        <v>Start up</v>
      </c>
      <c r="K59" s="14" t="str">
        <f>IF(AND($F59='Contract Adjudication Notes'!$D$2,NOT($D59='Contract Adjudication Notes'!$D$6),OR(I59="no",I59="within 10%")),IF(((H59-J59)&gt;=5),IF(H59&gt;=(J59+((G59-J59)/2)),"yes","no"),"no")," ")</f>
        <v xml:space="preserve"> </v>
      </c>
      <c r="L59" s="14">
        <v>75</v>
      </c>
      <c r="M59" s="14">
        <v>92.44</v>
      </c>
      <c r="N59" s="14" t="str">
        <f>IF((M59&gt;=L59),"yes",IF(M59&gt;=(L59*0.9),"within 10%","no"))</f>
        <v>yes</v>
      </c>
      <c r="O59" s="14" t="str">
        <f>IF($F59='Contract Adjudication Notes'!$D$2,IF($D59='Contract Adjudication Notes'!$D$6,"Start up",IFERROR(VLOOKUP($B59&amp;'Contract Adjudication Notes'!$D$3,$A$2:$P$67,13,FALSE),"NA")),"")</f>
        <v>Start up</v>
      </c>
      <c r="P59" s="14" t="str">
        <f>IF(AND($F59='Contract Adjudication Notes'!$D$2,OR(N59="no",N59="within 10%"),NOT($D59='Contract Adjudication Notes'!$D$6)),IF(((M59-O59)&gt;=5),IF(M59&gt;=(O59+((L59-O59)/2)),"yes","no"),"no")," ")</f>
        <v xml:space="preserve"> </v>
      </c>
      <c r="Q59" s="16">
        <f>IF($F59='Contract Adjudication Notes'!$D$2,COUNTIF(I59:P59, "yes"),"")</f>
        <v>1</v>
      </c>
    </row>
    <row r="60" spans="1:17" x14ac:dyDescent="0.25">
      <c r="A60" s="1" t="str">
        <f>_xlfn.CONCAT(B60,F60)</f>
        <v>East Side Pediatrics2017-Q4</v>
      </c>
      <c r="B60" s="19" t="s">
        <v>117</v>
      </c>
      <c r="C60" s="19" t="s">
        <v>29</v>
      </c>
      <c r="D60" s="39">
        <v>2</v>
      </c>
      <c r="E60" s="19" t="s">
        <v>27</v>
      </c>
      <c r="F60" s="19" t="s">
        <v>57</v>
      </c>
      <c r="G60" s="14">
        <v>76</v>
      </c>
      <c r="H60" s="14">
        <v>0</v>
      </c>
      <c r="I60" s="14" t="str">
        <f>IF((H60&gt;=G60),"yes",IF(H60&gt;=(G60*0.9),"within 10%","no"))</f>
        <v>no</v>
      </c>
      <c r="J60" s="14" t="str">
        <f>IF($F60='Contract Adjudication Notes'!$D$2,IF($D60='Contract Adjudication Notes'!$D$6,"Start up",IFERROR(VLOOKUP($B60&amp;'Contract Adjudication Notes'!$D$3,$A$2:$P$67,8,FALSE),"NA")),"")</f>
        <v/>
      </c>
      <c r="K60" s="14" t="str">
        <f>IF(AND($F60='Contract Adjudication Notes'!$D$2,NOT($D60='Contract Adjudication Notes'!$D$6),OR(I60="no",I60="within 10%")),IF(((H60-J60)&gt;=5),IF(H60&gt;=(J60+((G60-J60)/2)),"yes","no"),"no")," ")</f>
        <v xml:space="preserve"> </v>
      </c>
      <c r="L60" s="14">
        <v>75</v>
      </c>
      <c r="M60" s="14">
        <v>0</v>
      </c>
      <c r="N60" s="14" t="str">
        <f>IF((M60&gt;=L60),"yes",IF(M60&gt;=(L60*0.9),"within 10%","no"))</f>
        <v>no</v>
      </c>
      <c r="O60" s="14" t="str">
        <f>IF($F60='Contract Adjudication Notes'!$D$2,IF($D60='Contract Adjudication Notes'!$D$6,"Start up",IFERROR(VLOOKUP($B60&amp;'Contract Adjudication Notes'!$D$3,$A$2:$P$67,13,FALSE),"NA")),"")</f>
        <v/>
      </c>
      <c r="P60" s="14" t="str">
        <f>IF(AND($F60='Contract Adjudication Notes'!$D$2,OR(N60="no",N60="within 10%"),NOT($D60='Contract Adjudication Notes'!$D$6)),IF(((M60-O60)&gt;=5),IF(M60&gt;=(O60+((L60-O60)/2)),"yes","no"),"no")," ")</f>
        <v xml:space="preserve"> </v>
      </c>
      <c r="Q60" s="16" t="str">
        <f>IF($F60='Contract Adjudication Notes'!$D$2,COUNTIF(I60:P60, "yes"),"")</f>
        <v/>
      </c>
    </row>
    <row r="61" spans="1:17" x14ac:dyDescent="0.25">
      <c r="A61" s="1" t="str">
        <f>_xlfn.CONCAT(B61,F61)</f>
        <v>East Side Pediatrics2018-Q1</v>
      </c>
      <c r="B61" s="19" t="s">
        <v>117</v>
      </c>
      <c r="C61" s="19" t="s">
        <v>29</v>
      </c>
      <c r="D61" s="39">
        <v>2</v>
      </c>
      <c r="E61" s="19" t="s">
        <v>18</v>
      </c>
      <c r="F61" s="19" t="s">
        <v>58</v>
      </c>
      <c r="G61" s="14">
        <v>76</v>
      </c>
      <c r="H61" s="14">
        <v>99.78</v>
      </c>
      <c r="I61" s="14" t="str">
        <f>IF((H61&gt;=G61),"yes",IF(H61&gt;=(G61*0.9),"within 10%","no"))</f>
        <v>yes</v>
      </c>
      <c r="J61" s="14" t="str">
        <f>IF($F61='Contract Adjudication Notes'!$D$2,IF($D61='Contract Adjudication Notes'!$D$6,"Start up",IFERROR(VLOOKUP($B61&amp;'Contract Adjudication Notes'!$D$3,$A$2:$P$67,8,FALSE),"NA")),"")</f>
        <v>Start up</v>
      </c>
      <c r="K61" s="14" t="str">
        <f>IF(AND($F61='Contract Adjudication Notes'!$D$2,NOT($D61='Contract Adjudication Notes'!$D$6),OR(I61="no",I61="within 10%")),IF(((H61-J61)&gt;=5),IF(H61&gt;=(J61+((G61-J61)/2)),"yes","no"),"no")," ")</f>
        <v xml:space="preserve"> </v>
      </c>
      <c r="L61" s="14">
        <v>75</v>
      </c>
      <c r="M61" s="14">
        <v>0</v>
      </c>
      <c r="N61" s="14" t="str">
        <f>IF((M61&gt;=L61),"yes",IF(M61&gt;=(L61*0.9),"within 10%","no"))</f>
        <v>no</v>
      </c>
      <c r="O61" s="14" t="str">
        <f>IF($F61='Contract Adjudication Notes'!$D$2,IF($D61='Contract Adjudication Notes'!$D$6,"Start up",IFERROR(VLOOKUP($B61&amp;'Contract Adjudication Notes'!$D$3,$A$2:$P$67,13,FALSE),"NA")),"")</f>
        <v>Start up</v>
      </c>
      <c r="P61" s="14" t="str">
        <f>IF(AND($F61='Contract Adjudication Notes'!$D$2,OR(N61="no",N61="within 10%"),NOT($D61='Contract Adjudication Notes'!$D$6)),IF(((M61-O61)&gt;=5),IF(M61&gt;=(O61+((L61-O61)/2)),"yes","no"),"no")," ")</f>
        <v xml:space="preserve"> </v>
      </c>
      <c r="Q61" s="16">
        <f>IF($F61='Contract Adjudication Notes'!$D$2,COUNTIF(I61:P61, "yes"),"")</f>
        <v>1</v>
      </c>
    </row>
    <row r="62" spans="1:17" x14ac:dyDescent="0.25">
      <c r="A62" s="1" t="str">
        <f>_xlfn.CONCAT(B62,F62)</f>
        <v>Kingstown Pediatrics2017-Q4</v>
      </c>
      <c r="B62" s="19" t="s">
        <v>116</v>
      </c>
      <c r="C62" s="19" t="s">
        <v>20</v>
      </c>
      <c r="D62" s="39">
        <v>2</v>
      </c>
      <c r="E62" s="19" t="s">
        <v>27</v>
      </c>
      <c r="F62" s="19" t="s">
        <v>57</v>
      </c>
      <c r="G62" s="14">
        <v>76</v>
      </c>
      <c r="H62" s="14">
        <v>58.74</v>
      </c>
      <c r="I62" s="14" t="str">
        <f>IF((H62&gt;=G62),"yes",IF(H62&gt;=(G62*0.9),"within 10%","no"))</f>
        <v>no</v>
      </c>
      <c r="J62" s="14" t="str">
        <f>IF($F62='Contract Adjudication Notes'!$D$2,IF($D62='Contract Adjudication Notes'!$D$6,"Start up",IFERROR(VLOOKUP($B62&amp;'Contract Adjudication Notes'!$D$3,$A$2:$P$67,8,FALSE),"NA")),"")</f>
        <v/>
      </c>
      <c r="K62" s="14" t="str">
        <f>IF(AND($F62='Contract Adjudication Notes'!$D$2,NOT($D62='Contract Adjudication Notes'!$D$6),OR(I62="no",I62="within 10%")),IF(((H62-J62)&gt;=5),IF(H62&gt;=(J62+((G62-J62)/2)),"yes","no"),"no")," ")</f>
        <v xml:space="preserve"> </v>
      </c>
      <c r="L62" s="14">
        <v>75</v>
      </c>
      <c r="M62" s="14">
        <v>98.64</v>
      </c>
      <c r="N62" s="14" t="str">
        <f>IF((M62&gt;=L62),"yes",IF(M62&gt;=(L62*0.9),"within 10%","no"))</f>
        <v>yes</v>
      </c>
      <c r="O62" s="14" t="str">
        <f>IF($F62='Contract Adjudication Notes'!$D$2,IF($D62='Contract Adjudication Notes'!$D$6,"Start up",IFERROR(VLOOKUP($B62&amp;'Contract Adjudication Notes'!$D$3,$A$2:$P$67,13,FALSE),"NA")),"")</f>
        <v/>
      </c>
      <c r="P62" s="14" t="str">
        <f>IF(AND($F62='Contract Adjudication Notes'!$D$2,OR(N62="no",N62="within 10%"),NOT($D62='Contract Adjudication Notes'!$D$6)),IF(((M62-O62)&gt;=5),IF(M62&gt;=(O62+((L62-O62)/2)),"yes","no"),"no")," ")</f>
        <v xml:space="preserve"> </v>
      </c>
      <c r="Q62" s="16" t="str">
        <f>IF($F62='Contract Adjudication Notes'!$D$2,COUNTIF(I62:P62, "yes"),"")</f>
        <v/>
      </c>
    </row>
    <row r="63" spans="1:17" x14ac:dyDescent="0.25">
      <c r="A63" s="1" t="str">
        <f>_xlfn.CONCAT(B63,F63)</f>
        <v>Kingstown Pediatrics2018-Q1</v>
      </c>
      <c r="B63" s="19" t="s">
        <v>116</v>
      </c>
      <c r="C63" s="19" t="s">
        <v>20</v>
      </c>
      <c r="D63" s="39">
        <v>2</v>
      </c>
      <c r="E63" s="19" t="s">
        <v>18</v>
      </c>
      <c r="F63" s="19" t="s">
        <v>58</v>
      </c>
      <c r="G63" s="14">
        <v>76</v>
      </c>
      <c r="H63" s="14">
        <v>82.65</v>
      </c>
      <c r="I63" s="14" t="str">
        <f>IF((H63&gt;=G63),"yes",IF(H63&gt;=(G63*0.9),"within 10%","no"))</f>
        <v>yes</v>
      </c>
      <c r="J63" s="14" t="str">
        <f>IF($F63='Contract Adjudication Notes'!$D$2,IF($D63='Contract Adjudication Notes'!$D$6,"Start up",IFERROR(VLOOKUP($B63&amp;'Contract Adjudication Notes'!$D$3,$A$2:$P$67,8,FALSE),"NA")),"")</f>
        <v>Start up</v>
      </c>
      <c r="K63" s="14" t="str">
        <f>IF(AND($F63='Contract Adjudication Notes'!$D$2,NOT($D63='Contract Adjudication Notes'!$D$6),OR(I63="no",I63="within 10%")),IF(((H63-J63)&gt;=5),IF(H63&gt;=(J63+((G63-J63)/2)),"yes","no"),"no")," ")</f>
        <v xml:space="preserve"> </v>
      </c>
      <c r="L63" s="14">
        <v>75</v>
      </c>
      <c r="M63" s="14">
        <v>93.62</v>
      </c>
      <c r="N63" s="14" t="str">
        <f>IF((M63&gt;=L63),"yes",IF(M63&gt;=(L63*0.9),"within 10%","no"))</f>
        <v>yes</v>
      </c>
      <c r="O63" s="14" t="str">
        <f>IF($F63='Contract Adjudication Notes'!$D$2,IF($D63='Contract Adjudication Notes'!$D$6,"Start up",IFERROR(VLOOKUP($B63&amp;'Contract Adjudication Notes'!$D$3,$A$2:$P$67,13,FALSE),"NA")),"")</f>
        <v>Start up</v>
      </c>
      <c r="P63" s="14" t="str">
        <f>IF(AND($F63='Contract Adjudication Notes'!$D$2,OR(N63="no",N63="within 10%"),NOT($D63='Contract Adjudication Notes'!$D$6)),IF(((M63-O63)&gt;=5),IF(M63&gt;=(O63+((L63-O63)/2)),"yes","no"),"no")," ")</f>
        <v xml:space="preserve"> </v>
      </c>
      <c r="Q63" s="16">
        <f>IF($F63='Contract Adjudication Notes'!$D$2,COUNTIF(I63:P63, "yes"),"")</f>
        <v>2</v>
      </c>
    </row>
    <row r="64" spans="1:17" x14ac:dyDescent="0.25">
      <c r="A64" s="4" t="str">
        <f>_xlfn.CONCAT(B64,F64)</f>
        <v>Northern RI Pediatrics2017-Q4</v>
      </c>
      <c r="B64" s="19" t="s">
        <v>114</v>
      </c>
      <c r="C64" s="19" t="s">
        <v>20</v>
      </c>
      <c r="D64" s="39">
        <v>2</v>
      </c>
      <c r="E64" s="19" t="s">
        <v>27</v>
      </c>
      <c r="F64" s="19" t="s">
        <v>57</v>
      </c>
      <c r="G64" s="14">
        <v>76</v>
      </c>
      <c r="H64" s="14">
        <v>92.85</v>
      </c>
      <c r="I64" s="14" t="str">
        <f>IF((H64&gt;=G64),"yes",IF(H64&gt;=(G64*0.9),"within 10%","no"))</f>
        <v>yes</v>
      </c>
      <c r="J64" s="14" t="str">
        <f>IF($F64='Contract Adjudication Notes'!$D$2,IF($D64='Contract Adjudication Notes'!$D$6,"Start up",IFERROR(VLOOKUP($B64&amp;'Contract Adjudication Notes'!$D$3,$A$2:$P$67,8,FALSE),"NA")),"")</f>
        <v/>
      </c>
      <c r="K64" s="14" t="str">
        <f>IF(AND($F64='Contract Adjudication Notes'!$D$2,NOT($D64='Contract Adjudication Notes'!$D$6),OR(I64="no",I64="within 10%")),IF(((H64-J64)&gt;=5),IF(H64&gt;=(J64+((G64-J64)/2)),"yes","no"),"no")," ")</f>
        <v xml:space="preserve"> </v>
      </c>
      <c r="L64" s="14">
        <v>75</v>
      </c>
      <c r="M64" s="14">
        <v>98.91</v>
      </c>
      <c r="N64" s="14" t="str">
        <f>IF((M64&gt;=L64),"yes",IF(M64&gt;=(L64*0.9),"within 10%","no"))</f>
        <v>yes</v>
      </c>
      <c r="O64" s="14" t="str">
        <f>IF($F64='Contract Adjudication Notes'!$D$2,IF($D64='Contract Adjudication Notes'!$D$6,"Start up",IFERROR(VLOOKUP($B64&amp;'Contract Adjudication Notes'!$D$3,$A$2:$P$67,13,FALSE),"NA")),"")</f>
        <v/>
      </c>
      <c r="P64" s="14" t="str">
        <f>IF(AND($F64='Contract Adjudication Notes'!$D$2,OR(N64="no",N64="within 10%"),NOT($D64='Contract Adjudication Notes'!$D$6)),IF(((M64-O64)&gt;=5),IF(M64&gt;=(O64+((L64-O64)/2)),"yes","no"),"no")," ")</f>
        <v xml:space="preserve"> </v>
      </c>
      <c r="Q64" s="16" t="str">
        <f>IF($F64='Contract Adjudication Notes'!$D$2,COUNTIF(I64:P64, "yes"),"")</f>
        <v/>
      </c>
    </row>
    <row r="65" spans="1:17" x14ac:dyDescent="0.25">
      <c r="A65" s="4" t="str">
        <f>_xlfn.CONCAT(B65,F65)</f>
        <v>Northern RI Pediatrics2018-Q1</v>
      </c>
      <c r="B65" s="19" t="s">
        <v>114</v>
      </c>
      <c r="C65" s="19" t="s">
        <v>20</v>
      </c>
      <c r="D65" s="39">
        <v>2</v>
      </c>
      <c r="E65" s="19" t="s">
        <v>18</v>
      </c>
      <c r="F65" s="19" t="s">
        <v>58</v>
      </c>
      <c r="G65" s="14">
        <v>76</v>
      </c>
      <c r="H65" s="14">
        <v>99.48</v>
      </c>
      <c r="I65" s="14" t="str">
        <f>IF((H65&gt;=G65),"yes",IF(H65&gt;=(G65*0.9),"within 10%","no"))</f>
        <v>yes</v>
      </c>
      <c r="J65" s="14" t="str">
        <f>IF($F65='Contract Adjudication Notes'!$D$2,IF($D65='Contract Adjudication Notes'!$D$6,"Start up",IFERROR(VLOOKUP($B65&amp;'Contract Adjudication Notes'!$D$3,$A$2:$P$67,8,FALSE),"NA")),"")</f>
        <v>Start up</v>
      </c>
      <c r="K65" s="14" t="str">
        <f>IF(AND($F65='Contract Adjudication Notes'!$D$2,NOT($D65='Contract Adjudication Notes'!$D$6),OR(I65="no",I65="within 10%")),IF(((H65-J65)&gt;=5),IF(H65&gt;=(J65+((G65-J65)/2)),"yes","no"),"no")," ")</f>
        <v xml:space="preserve"> </v>
      </c>
      <c r="L65" s="14">
        <v>75</v>
      </c>
      <c r="M65" s="14">
        <v>98.99</v>
      </c>
      <c r="N65" s="14" t="str">
        <f>IF((M65&gt;=L65),"yes",IF(M65&gt;=(L65*0.9),"within 10%","no"))</f>
        <v>yes</v>
      </c>
      <c r="O65" s="14" t="str">
        <f>IF($F65='Contract Adjudication Notes'!$D$2,IF($D65='Contract Adjudication Notes'!$D$6,"Start up",IFERROR(VLOOKUP($B65&amp;'Contract Adjudication Notes'!$D$3,$A$2:$P$67,13,FALSE),"NA")),"")</f>
        <v>Start up</v>
      </c>
      <c r="P65" s="14" t="str">
        <f>IF(AND($F65='Contract Adjudication Notes'!$D$2,OR(N65="no",N65="within 10%"),NOT($D65='Contract Adjudication Notes'!$D$6)),IF(((M65-O65)&gt;=5),IF(M65&gt;=(O65+((L65-O65)/2)),"yes","no"),"no")," ")</f>
        <v xml:space="preserve"> </v>
      </c>
      <c r="Q65" s="16">
        <f>IF($F65='Contract Adjudication Notes'!$D$2,COUNTIF(I65:P65, "yes"),"")</f>
        <v>2</v>
      </c>
    </row>
    <row r="66" spans="1:17" x14ac:dyDescent="0.25">
      <c r="A66" s="16" t="str">
        <f>_xlfn.CONCAT(B66,F66)</f>
        <v>Thomas Puleo2017-Q4</v>
      </c>
      <c r="B66" s="19" t="s">
        <v>113</v>
      </c>
      <c r="C66" s="19" t="s">
        <v>29</v>
      </c>
      <c r="D66" s="39">
        <v>2</v>
      </c>
      <c r="E66" s="19" t="s">
        <v>27</v>
      </c>
      <c r="F66" s="19" t="s">
        <v>57</v>
      </c>
      <c r="G66" s="14">
        <v>76</v>
      </c>
      <c r="H66" s="14">
        <v>99.38</v>
      </c>
      <c r="I66" s="14" t="str">
        <f>IF((H66&gt;=G66),"yes",IF(H66&gt;=(G66*0.9),"within 10%","no"))</f>
        <v>yes</v>
      </c>
      <c r="J66" s="14" t="str">
        <f>IF($F66='Contract Adjudication Notes'!$D$2,IF($D66='Contract Adjudication Notes'!$D$6,"Start up",IFERROR(VLOOKUP($B66&amp;'Contract Adjudication Notes'!$D$3,$A$2:$P$67,8,FALSE),"NA")),"")</f>
        <v/>
      </c>
      <c r="K66" s="14" t="str">
        <f>IF(AND($F66='Contract Adjudication Notes'!$D$2,NOT($D66='Contract Adjudication Notes'!$D$6),OR(I66="no",I66="within 10%")),IF(((H66-J66)&gt;=5),IF(H66&gt;=(J66+((G66-J66)/2)),"yes","no"),"no")," ")</f>
        <v xml:space="preserve"> </v>
      </c>
      <c r="L66" s="14">
        <v>75</v>
      </c>
      <c r="M66" s="14">
        <v>52.77</v>
      </c>
      <c r="N66" s="14" t="str">
        <f>IF((M66&gt;=L66),"yes",IF(M66&gt;=(L66*0.9),"within 10%","no"))</f>
        <v>no</v>
      </c>
      <c r="O66" s="14" t="str">
        <f>IF($F66='Contract Adjudication Notes'!$D$2,IF($D66='Contract Adjudication Notes'!$D$6,"Start up",IFERROR(VLOOKUP($B66&amp;'Contract Adjudication Notes'!$D$3,$A$2:$P$67,13,FALSE),"NA")),"")</f>
        <v/>
      </c>
      <c r="P66" s="14" t="str">
        <f>IF(AND($F66='Contract Adjudication Notes'!$D$2,OR(N66="no",N66="within 10%"),NOT($D66='Contract Adjudication Notes'!$D$6)),IF(((M66-O66)&gt;=5),IF(M66&gt;=(O66+((L66-O66)/2)),"yes","no"),"no")," ")</f>
        <v xml:space="preserve"> </v>
      </c>
      <c r="Q66" s="16" t="str">
        <f>IF($F66='Contract Adjudication Notes'!$D$2,COUNTIF(I66:P66, "yes"),"")</f>
        <v/>
      </c>
    </row>
    <row r="67" spans="1:17" x14ac:dyDescent="0.25">
      <c r="A67" s="1" t="str">
        <f>_xlfn.CONCAT(B67,F67)</f>
        <v>Thomas Puleo2018-Q1</v>
      </c>
      <c r="B67" s="19" t="s">
        <v>113</v>
      </c>
      <c r="C67" s="19" t="s">
        <v>29</v>
      </c>
      <c r="D67" s="39">
        <v>2</v>
      </c>
      <c r="E67" s="19" t="s">
        <v>30</v>
      </c>
      <c r="F67" s="19" t="s">
        <v>58</v>
      </c>
      <c r="G67" s="14">
        <v>76</v>
      </c>
      <c r="H67" s="14">
        <v>100</v>
      </c>
      <c r="I67" s="14" t="str">
        <f>IF((H67&gt;=G67),"yes",IF(H67&gt;=(G67*0.9),"within 10%","no"))</f>
        <v>yes</v>
      </c>
      <c r="J67" s="14" t="str">
        <f>IF($F67='Contract Adjudication Notes'!$D$2,IF($D67='Contract Adjudication Notes'!$D$6,"Start up",IFERROR(VLOOKUP($B67&amp;'Contract Adjudication Notes'!$D$3,$A$2:$P$67,8,FALSE),"NA")),"")</f>
        <v>Start up</v>
      </c>
      <c r="K67" s="14" t="str">
        <f>IF(AND($F67='Contract Adjudication Notes'!$D$2,NOT($D67='Contract Adjudication Notes'!$D$6),OR(I67="no",I67="within 10%")),IF(((H67-J67)&gt;=5),IF(H67&gt;=(J67+((G67-J67)/2)),"yes","no"),"no")," ")</f>
        <v xml:space="preserve"> </v>
      </c>
      <c r="L67" s="14">
        <v>75</v>
      </c>
      <c r="M67" s="14">
        <v>45.83</v>
      </c>
      <c r="N67" s="14" t="str">
        <f>IF((M67&gt;=L67),"yes",IF(M67&gt;=(L67*0.9),"within 10%","no"))</f>
        <v>no</v>
      </c>
      <c r="O67" s="14" t="str">
        <f>IF($F67='Contract Adjudication Notes'!$D$2,IF($D67='Contract Adjudication Notes'!$D$6,"Start up",IFERROR(VLOOKUP($B67&amp;'Contract Adjudication Notes'!$D$3,$A$2:$P$67,13,FALSE),"NA")),"")</f>
        <v>Start up</v>
      </c>
      <c r="P67" s="14" t="str">
        <f>IF(AND($F67='Contract Adjudication Notes'!$D$2,OR(N67="no",N67="within 10%"),NOT($D67='Contract Adjudication Notes'!$D$6)),IF(((M67-O67)&gt;=5),IF(M67&gt;=(O67+((L67-O67)/2)),"yes","no"),"no")," ")</f>
        <v xml:space="preserve"> </v>
      </c>
      <c r="Q67" s="16">
        <f>IF($F67='Contract Adjudication Notes'!$D$2,COUNTIF(I67:P67, "yes"),"")</f>
        <v>1</v>
      </c>
    </row>
    <row r="68" spans="1:17" x14ac:dyDescent="0.25">
      <c r="A68" s="1" t="str">
        <f t="shared" ref="A66:A76" si="1">_xlfn.CONCAT(B68,F68)</f>
        <v/>
      </c>
      <c r="H68"/>
      <c r="I68"/>
      <c r="J68"/>
      <c r="K68"/>
      <c r="L68"/>
      <c r="M68"/>
      <c r="N68"/>
      <c r="O68"/>
      <c r="P68"/>
    </row>
    <row r="69" spans="1:17" x14ac:dyDescent="0.25">
      <c r="A69" s="1" t="str">
        <f t="shared" si="1"/>
        <v/>
      </c>
      <c r="C69" s="22" t="s">
        <v>119</v>
      </c>
      <c r="H69"/>
      <c r="I69"/>
      <c r="J69"/>
      <c r="K69"/>
      <c r="L69"/>
      <c r="M69"/>
      <c r="N69"/>
      <c r="O69"/>
      <c r="P69"/>
    </row>
    <row r="70" spans="1:17" x14ac:dyDescent="0.25">
      <c r="A70" s="1" t="str">
        <f t="shared" si="1"/>
        <v/>
      </c>
      <c r="C70" s="22" t="s">
        <v>35</v>
      </c>
      <c r="H70" s="16" t="s">
        <v>590</v>
      </c>
      <c r="I70" s="14">
        <f>COUNTIFS($F$2:$F$67,'Contract Adjudication Notes'!$D$2,I2:I67, "yes")</f>
        <v>16</v>
      </c>
      <c r="J70"/>
      <c r="K70">
        <f>COUNTIF(K2:K67,"yes")</f>
        <v>2</v>
      </c>
      <c r="L70"/>
      <c r="M70"/>
      <c r="N70" s="14">
        <f>COUNTIFS($F$2:$F$67,'Contract Adjudication Notes'!$D$2,N2:N67, "yes")</f>
        <v>15</v>
      </c>
      <c r="O70"/>
      <c r="P70" s="16">
        <f>COUNTIF(P2:P67,"yes")</f>
        <v>2</v>
      </c>
    </row>
    <row r="71" spans="1:17" x14ac:dyDescent="0.25">
      <c r="A71" s="4" t="str">
        <f t="shared" si="1"/>
        <v/>
      </c>
      <c r="C71" s="22" t="s">
        <v>36</v>
      </c>
      <c r="G71" s="3"/>
      <c r="H71" s="16" t="s">
        <v>591</v>
      </c>
      <c r="I71" s="14">
        <f>COUNTIF($F$2:$F$67,'Contract Adjudication Notes'!$D$2)</f>
        <v>20</v>
      </c>
      <c r="J71"/>
      <c r="K71"/>
      <c r="L71"/>
      <c r="N71"/>
      <c r="O71" s="3" t="str">
        <f t="shared" ref="O71:O76" si="2">IF($F71="2018-Q1",IFERROR(VLOOKUP($B71&amp;$F$4,$A$2:$P$149,14,FALSE),"Start Up"),"")</f>
        <v/>
      </c>
      <c r="P71" s="3" t="str">
        <f t="shared" ref="P71:P76" si="3">IF(AND($F71="2018-Q1",N71="no",NOT(O71="Start Up")),IF(((M71-O71)&gt;=5),IF(M71&gt;=(O71+((L71-O71)/2)),"yes","no"),"no")," ")</f>
        <v xml:space="preserve"> </v>
      </c>
    </row>
    <row r="72" spans="1:17" x14ac:dyDescent="0.25">
      <c r="A72" s="1" t="str">
        <f t="shared" si="1"/>
        <v/>
      </c>
      <c r="C72" s="22" t="s">
        <v>580</v>
      </c>
      <c r="G72" s="9"/>
      <c r="H72" s="16" t="s">
        <v>592</v>
      </c>
      <c r="I72" s="16">
        <f>COUNTIFS($F$2:$F$67, 'Contract Adjudication Notes'!$D$2, $D$2:$D$67, 2)</f>
        <v>11</v>
      </c>
      <c r="J72"/>
      <c r="K72"/>
      <c r="L72"/>
      <c r="N72"/>
      <c r="O72" s="3" t="str">
        <f t="shared" si="2"/>
        <v/>
      </c>
      <c r="P72" s="3" t="s">
        <v>594</v>
      </c>
      <c r="Q72">
        <f>COUNTIF(Q2:Q67,2)</f>
        <v>16</v>
      </c>
    </row>
    <row r="73" spans="1:17" x14ac:dyDescent="0.25">
      <c r="A73" s="1" t="str">
        <f t="shared" si="1"/>
        <v/>
      </c>
      <c r="C73" s="22" t="s">
        <v>37</v>
      </c>
      <c r="G73" s="9"/>
      <c r="H73" s="16" t="s">
        <v>593</v>
      </c>
      <c r="I73" s="16">
        <f>COUNTIFS($F$2:$F$67, 'Contract Adjudication Notes'!$D$2, $D$2:$D$67, 1)</f>
        <v>9</v>
      </c>
      <c r="J73"/>
      <c r="K73"/>
      <c r="L73"/>
      <c r="N73"/>
      <c r="O73" s="3" t="str">
        <f t="shared" si="2"/>
        <v/>
      </c>
      <c r="P73" s="3" t="s">
        <v>595</v>
      </c>
      <c r="Q73" s="16">
        <f>COUNTIF(Q2:Q68,1)</f>
        <v>3</v>
      </c>
    </row>
    <row r="74" spans="1:17" x14ac:dyDescent="0.25">
      <c r="A74" s="1" t="str">
        <f t="shared" si="1"/>
        <v/>
      </c>
      <c r="G74" s="9"/>
      <c r="H74" s="16" t="s">
        <v>589</v>
      </c>
      <c r="I74" s="16" t="s">
        <v>589</v>
      </c>
      <c r="J74"/>
      <c r="K74"/>
      <c r="L74"/>
      <c r="N74"/>
      <c r="O74" s="3" t="str">
        <f t="shared" si="2"/>
        <v/>
      </c>
      <c r="P74" s="3" t="s">
        <v>596</v>
      </c>
      <c r="Q74" s="16">
        <f>COUNTIF(Q2:Q69,0)</f>
        <v>1</v>
      </c>
    </row>
    <row r="75" spans="1:17" x14ac:dyDescent="0.25">
      <c r="A75" s="1" t="str">
        <f t="shared" si="1"/>
        <v/>
      </c>
      <c r="G75" s="3"/>
      <c r="I75"/>
      <c r="J75"/>
      <c r="K75"/>
      <c r="L75"/>
      <c r="N75"/>
      <c r="O75" s="3" t="str">
        <f t="shared" si="2"/>
        <v/>
      </c>
      <c r="P75" s="3" t="str">
        <f t="shared" si="3"/>
        <v xml:space="preserve"> </v>
      </c>
    </row>
    <row r="76" spans="1:17" x14ac:dyDescent="0.25">
      <c r="A76" s="4" t="str">
        <f t="shared" si="1"/>
        <v/>
      </c>
      <c r="G76" s="3"/>
      <c r="I76"/>
      <c r="J76"/>
      <c r="K76"/>
      <c r="L76"/>
      <c r="N76"/>
      <c r="O76" s="3" t="str">
        <f t="shared" si="2"/>
        <v/>
      </c>
      <c r="P76" s="3" t="str">
        <f t="shared" si="3"/>
        <v xml:space="preserve"> </v>
      </c>
    </row>
    <row r="77" spans="1:17" x14ac:dyDescent="0.25">
      <c r="A77"/>
      <c r="I77"/>
      <c r="J77"/>
      <c r="K77"/>
      <c r="L77"/>
      <c r="N77"/>
      <c r="O77"/>
      <c r="P77"/>
    </row>
    <row r="78" spans="1:17" x14ac:dyDescent="0.25">
      <c r="A78"/>
      <c r="I78"/>
      <c r="J78"/>
      <c r="K78"/>
      <c r="L78"/>
      <c r="N78"/>
      <c r="O78"/>
      <c r="P78"/>
    </row>
    <row r="79" spans="1:17" x14ac:dyDescent="0.25">
      <c r="A79"/>
      <c r="I79"/>
      <c r="J79"/>
      <c r="K79"/>
      <c r="L79"/>
      <c r="N79"/>
      <c r="O79"/>
      <c r="P79"/>
    </row>
    <row r="80" spans="1:17" x14ac:dyDescent="0.25">
      <c r="A80"/>
      <c r="I80"/>
      <c r="J80"/>
      <c r="K80"/>
      <c r="L80"/>
      <c r="N80"/>
      <c r="O80"/>
      <c r="P80"/>
    </row>
    <row r="81" spans="1:16" x14ac:dyDescent="0.25">
      <c r="A81"/>
      <c r="I81"/>
      <c r="J81"/>
      <c r="K81"/>
      <c r="L81"/>
      <c r="N81"/>
      <c r="O81"/>
      <c r="P81"/>
    </row>
    <row r="82" spans="1:16" x14ac:dyDescent="0.25">
      <c r="A82"/>
      <c r="I82"/>
      <c r="J82"/>
      <c r="K82"/>
      <c r="L82"/>
      <c r="N82"/>
      <c r="O82"/>
      <c r="P82"/>
    </row>
    <row r="83" spans="1:16" x14ac:dyDescent="0.25">
      <c r="A83"/>
      <c r="I83"/>
      <c r="J83"/>
      <c r="K83"/>
      <c r="L83"/>
      <c r="N83"/>
      <c r="O83"/>
      <c r="P83"/>
    </row>
    <row r="84" spans="1:16" x14ac:dyDescent="0.25">
      <c r="A84"/>
      <c r="I84"/>
      <c r="J84"/>
      <c r="K84"/>
      <c r="L84"/>
      <c r="N84"/>
      <c r="O84"/>
      <c r="P84"/>
    </row>
    <row r="85" spans="1:16" x14ac:dyDescent="0.25">
      <c r="A85"/>
      <c r="I85"/>
      <c r="J85"/>
      <c r="K85"/>
      <c r="L85"/>
      <c r="N85"/>
      <c r="O85"/>
      <c r="P85"/>
    </row>
    <row r="86" spans="1:16" x14ac:dyDescent="0.25">
      <c r="A86"/>
      <c r="I86"/>
      <c r="J86"/>
      <c r="K86"/>
      <c r="L86"/>
      <c r="N86"/>
      <c r="O86"/>
      <c r="P86"/>
    </row>
    <row r="87" spans="1:16" x14ac:dyDescent="0.25">
      <c r="A87"/>
      <c r="I87"/>
      <c r="J87"/>
      <c r="K87"/>
      <c r="L87"/>
      <c r="N87"/>
      <c r="O87"/>
      <c r="P87"/>
    </row>
    <row r="88" spans="1:16" x14ac:dyDescent="0.25">
      <c r="A88"/>
      <c r="I88"/>
      <c r="J88"/>
      <c r="K88"/>
      <c r="L88"/>
      <c r="N88"/>
      <c r="O88"/>
      <c r="P88"/>
    </row>
    <row r="89" spans="1:16" x14ac:dyDescent="0.25">
      <c r="A89"/>
      <c r="I89"/>
      <c r="J89"/>
      <c r="K89"/>
      <c r="L89"/>
      <c r="N89"/>
      <c r="O89"/>
      <c r="P89"/>
    </row>
    <row r="90" spans="1:16" x14ac:dyDescent="0.25">
      <c r="A90"/>
      <c r="I90"/>
      <c r="J90"/>
      <c r="K90"/>
      <c r="L90"/>
      <c r="N90"/>
      <c r="O90"/>
      <c r="P90"/>
    </row>
    <row r="91" spans="1:16" x14ac:dyDescent="0.25">
      <c r="A91"/>
      <c r="I91"/>
      <c r="J91"/>
      <c r="K91"/>
      <c r="L91"/>
      <c r="N91"/>
      <c r="O91"/>
      <c r="P91"/>
    </row>
    <row r="92" spans="1:16" x14ac:dyDescent="0.25">
      <c r="A92"/>
      <c r="I92"/>
      <c r="J92"/>
      <c r="K92"/>
      <c r="L92"/>
      <c r="N92"/>
      <c r="O92"/>
      <c r="P92"/>
    </row>
    <row r="93" spans="1:16" x14ac:dyDescent="0.25">
      <c r="A93"/>
      <c r="I93"/>
      <c r="J93"/>
      <c r="K93"/>
      <c r="L93"/>
      <c r="N93"/>
      <c r="O93"/>
      <c r="P93"/>
    </row>
    <row r="94" spans="1:16" x14ac:dyDescent="0.25">
      <c r="A94"/>
      <c r="I94"/>
      <c r="J94"/>
      <c r="K94"/>
      <c r="L94"/>
      <c r="N94"/>
      <c r="O94"/>
      <c r="P94"/>
    </row>
    <row r="95" spans="1:16" x14ac:dyDescent="0.25">
      <c r="A95"/>
      <c r="I95"/>
      <c r="J95"/>
      <c r="K95"/>
      <c r="L95"/>
      <c r="N95"/>
      <c r="O95"/>
      <c r="P95"/>
    </row>
    <row r="96" spans="1:16" x14ac:dyDescent="0.25">
      <c r="A96"/>
      <c r="I96"/>
      <c r="J96"/>
      <c r="K96"/>
      <c r="L96"/>
      <c r="N96"/>
      <c r="O96"/>
      <c r="P96"/>
    </row>
    <row r="97" spans="1:16" x14ac:dyDescent="0.25">
      <c r="A97"/>
      <c r="I97"/>
      <c r="J97"/>
      <c r="K97"/>
      <c r="L97"/>
      <c r="N97"/>
      <c r="O97"/>
      <c r="P97"/>
    </row>
    <row r="98" spans="1:16" x14ac:dyDescent="0.25">
      <c r="A98"/>
      <c r="I98"/>
      <c r="J98"/>
      <c r="K98"/>
      <c r="L98"/>
      <c r="N98"/>
      <c r="O98"/>
      <c r="P98"/>
    </row>
    <row r="99" spans="1:16" x14ac:dyDescent="0.25">
      <c r="A99"/>
      <c r="I99"/>
      <c r="J99"/>
      <c r="K99"/>
      <c r="L99"/>
      <c r="N99"/>
      <c r="O99"/>
      <c r="P99"/>
    </row>
    <row r="100" spans="1:16" x14ac:dyDescent="0.25">
      <c r="A100"/>
      <c r="I100"/>
      <c r="J100"/>
      <c r="K100"/>
      <c r="L100"/>
      <c r="N100"/>
      <c r="O100"/>
      <c r="P100"/>
    </row>
    <row r="101" spans="1:16" x14ac:dyDescent="0.25">
      <c r="A101"/>
      <c r="I101"/>
      <c r="J101"/>
      <c r="K101"/>
      <c r="L101"/>
      <c r="N101"/>
      <c r="O101"/>
      <c r="P101"/>
    </row>
    <row r="102" spans="1:16" x14ac:dyDescent="0.25">
      <c r="A102"/>
      <c r="I102"/>
      <c r="J102"/>
      <c r="K102"/>
      <c r="L102"/>
      <c r="N102"/>
      <c r="O102"/>
      <c r="P102"/>
    </row>
    <row r="103" spans="1:16" x14ac:dyDescent="0.25">
      <c r="A103"/>
      <c r="I103"/>
      <c r="J103"/>
      <c r="K103"/>
      <c r="L103"/>
      <c r="N103"/>
      <c r="O103"/>
      <c r="P103"/>
    </row>
    <row r="104" spans="1:16" x14ac:dyDescent="0.25">
      <c r="A104"/>
      <c r="I104"/>
      <c r="J104"/>
      <c r="K104"/>
      <c r="L104"/>
      <c r="N104"/>
      <c r="O104"/>
      <c r="P104"/>
    </row>
    <row r="105" spans="1:16" x14ac:dyDescent="0.25">
      <c r="A105"/>
      <c r="I105"/>
      <c r="J105"/>
      <c r="K105"/>
      <c r="L105"/>
      <c r="N105"/>
      <c r="O105"/>
      <c r="P105"/>
    </row>
    <row r="106" spans="1:16" x14ac:dyDescent="0.25">
      <c r="A106"/>
      <c r="I106"/>
      <c r="J106"/>
      <c r="K106"/>
      <c r="L106"/>
      <c r="N106"/>
      <c r="O106"/>
      <c r="P106"/>
    </row>
    <row r="107" spans="1:16" x14ac:dyDescent="0.25">
      <c r="A107"/>
      <c r="I107"/>
      <c r="J107"/>
      <c r="K107"/>
      <c r="L107"/>
      <c r="N107"/>
      <c r="O107"/>
      <c r="P107"/>
    </row>
    <row r="108" spans="1:16" x14ac:dyDescent="0.25">
      <c r="A108"/>
      <c r="I108"/>
      <c r="J108"/>
      <c r="K108"/>
      <c r="L108"/>
      <c r="N108"/>
      <c r="O108"/>
      <c r="P108"/>
    </row>
    <row r="109" spans="1:16" x14ac:dyDescent="0.25">
      <c r="A109"/>
      <c r="I109"/>
      <c r="J109"/>
      <c r="K109"/>
      <c r="L109"/>
      <c r="N109"/>
      <c r="O109"/>
      <c r="P109"/>
    </row>
    <row r="110" spans="1:16" x14ac:dyDescent="0.25">
      <c r="A110"/>
      <c r="I110"/>
      <c r="J110"/>
      <c r="K110"/>
      <c r="L110"/>
      <c r="N110"/>
      <c r="O110"/>
      <c r="P110"/>
    </row>
    <row r="111" spans="1:16" x14ac:dyDescent="0.25">
      <c r="A111"/>
      <c r="I111"/>
      <c r="J111"/>
      <c r="K111"/>
      <c r="L111"/>
      <c r="N111"/>
      <c r="O111"/>
      <c r="P111"/>
    </row>
    <row r="112" spans="1:16" x14ac:dyDescent="0.25">
      <c r="A112"/>
      <c r="I112"/>
      <c r="J112"/>
      <c r="K112"/>
      <c r="L112"/>
      <c r="N112"/>
      <c r="O112"/>
      <c r="P112"/>
    </row>
    <row r="113" spans="1:16" x14ac:dyDescent="0.25">
      <c r="A113"/>
      <c r="I113"/>
      <c r="J113"/>
      <c r="K113"/>
      <c r="L113"/>
      <c r="N113"/>
      <c r="O113"/>
      <c r="P113"/>
    </row>
    <row r="114" spans="1:16" x14ac:dyDescent="0.25">
      <c r="A114"/>
      <c r="I114"/>
      <c r="J114"/>
      <c r="K114"/>
      <c r="L114"/>
      <c r="N114"/>
      <c r="O114"/>
      <c r="P114"/>
    </row>
    <row r="115" spans="1:16" x14ac:dyDescent="0.25">
      <c r="A115"/>
      <c r="I115"/>
      <c r="J115"/>
      <c r="K115"/>
      <c r="L115"/>
      <c r="N115"/>
      <c r="O115"/>
      <c r="P115"/>
    </row>
    <row r="116" spans="1:16" x14ac:dyDescent="0.25">
      <c r="A116"/>
      <c r="I116"/>
      <c r="J116"/>
      <c r="K116"/>
      <c r="L116"/>
      <c r="N116"/>
      <c r="O116"/>
      <c r="P116"/>
    </row>
    <row r="117" spans="1:16" x14ac:dyDescent="0.25">
      <c r="A117"/>
      <c r="I117"/>
      <c r="J117"/>
      <c r="K117"/>
      <c r="L117"/>
      <c r="N117"/>
      <c r="O117"/>
      <c r="P117"/>
    </row>
    <row r="118" spans="1:16" x14ac:dyDescent="0.25">
      <c r="A118"/>
      <c r="I118"/>
      <c r="J118"/>
      <c r="K118"/>
      <c r="L118"/>
      <c r="N118"/>
      <c r="O118"/>
      <c r="P118"/>
    </row>
    <row r="119" spans="1:16" x14ac:dyDescent="0.25">
      <c r="A119"/>
      <c r="I119"/>
      <c r="J119"/>
      <c r="K119"/>
      <c r="L119"/>
      <c r="N119"/>
      <c r="O119"/>
      <c r="P119"/>
    </row>
    <row r="120" spans="1:16" x14ac:dyDescent="0.25">
      <c r="A120"/>
      <c r="I120"/>
      <c r="J120"/>
      <c r="K120"/>
      <c r="L120"/>
      <c r="N120"/>
      <c r="O120"/>
      <c r="P120"/>
    </row>
    <row r="121" spans="1:16" x14ac:dyDescent="0.25">
      <c r="A121"/>
      <c r="I121"/>
      <c r="J121"/>
      <c r="K121"/>
      <c r="L121"/>
      <c r="N121"/>
      <c r="O121"/>
      <c r="P121"/>
    </row>
    <row r="122" spans="1:16" x14ac:dyDescent="0.25">
      <c r="A122"/>
      <c r="I122"/>
      <c r="J122"/>
      <c r="K122"/>
      <c r="L122"/>
      <c r="N122"/>
      <c r="O122"/>
      <c r="P122"/>
    </row>
    <row r="123" spans="1:16" x14ac:dyDescent="0.25">
      <c r="A123"/>
      <c r="I123"/>
      <c r="J123"/>
      <c r="K123"/>
      <c r="L123"/>
      <c r="N123"/>
      <c r="O123"/>
      <c r="P123"/>
    </row>
    <row r="124" spans="1:16" x14ac:dyDescent="0.25">
      <c r="A124"/>
      <c r="I124"/>
      <c r="J124"/>
      <c r="K124"/>
      <c r="L124"/>
      <c r="N124"/>
      <c r="O124"/>
      <c r="P124"/>
    </row>
    <row r="125" spans="1:16" x14ac:dyDescent="0.25">
      <c r="A125"/>
      <c r="I125"/>
      <c r="J125"/>
      <c r="K125"/>
      <c r="L125"/>
      <c r="N125"/>
      <c r="O125"/>
      <c r="P125"/>
    </row>
    <row r="126" spans="1:16" x14ac:dyDescent="0.25">
      <c r="A126"/>
      <c r="I126"/>
      <c r="J126"/>
      <c r="K126"/>
      <c r="L126"/>
      <c r="N126"/>
      <c r="O126"/>
      <c r="P126"/>
    </row>
    <row r="127" spans="1:16" x14ac:dyDescent="0.25">
      <c r="A127"/>
      <c r="I127"/>
      <c r="J127"/>
      <c r="K127"/>
      <c r="L127"/>
      <c r="N127"/>
      <c r="O127"/>
      <c r="P127"/>
    </row>
    <row r="128" spans="1:16" x14ac:dyDescent="0.25">
      <c r="A128"/>
      <c r="I128"/>
      <c r="J128"/>
      <c r="K128"/>
      <c r="L128"/>
      <c r="N128"/>
      <c r="O128"/>
      <c r="P128"/>
    </row>
    <row r="129" spans="1:16" x14ac:dyDescent="0.25">
      <c r="A129"/>
      <c r="I129"/>
      <c r="J129"/>
      <c r="K129"/>
      <c r="L129"/>
      <c r="N129"/>
      <c r="O129"/>
      <c r="P129"/>
    </row>
    <row r="130" spans="1:16" x14ac:dyDescent="0.25">
      <c r="A130"/>
      <c r="I130"/>
      <c r="J130"/>
      <c r="K130"/>
      <c r="L130"/>
      <c r="N130"/>
      <c r="O130"/>
      <c r="P130"/>
    </row>
    <row r="131" spans="1:16" x14ac:dyDescent="0.25">
      <c r="A131"/>
      <c r="I131"/>
      <c r="J131"/>
      <c r="K131"/>
      <c r="L131"/>
      <c r="N131"/>
      <c r="O131"/>
      <c r="P131"/>
    </row>
    <row r="132" spans="1:16" x14ac:dyDescent="0.25">
      <c r="A132"/>
      <c r="I132"/>
      <c r="J132"/>
      <c r="K132"/>
      <c r="L132"/>
      <c r="N132"/>
      <c r="O132"/>
      <c r="P132"/>
    </row>
    <row r="133" spans="1:16" x14ac:dyDescent="0.25">
      <c r="A133"/>
      <c r="I133"/>
      <c r="J133"/>
      <c r="K133"/>
      <c r="L133"/>
      <c r="N133"/>
      <c r="O133"/>
      <c r="P133"/>
    </row>
    <row r="134" spans="1:16" x14ac:dyDescent="0.25">
      <c r="A134"/>
      <c r="I134"/>
      <c r="J134"/>
      <c r="K134"/>
      <c r="L134"/>
      <c r="N134"/>
      <c r="O134"/>
      <c r="P134"/>
    </row>
    <row r="135" spans="1:16" x14ac:dyDescent="0.25">
      <c r="A135"/>
      <c r="I135"/>
      <c r="J135"/>
      <c r="K135"/>
      <c r="L135"/>
      <c r="N135"/>
      <c r="O135"/>
      <c r="P135"/>
    </row>
    <row r="136" spans="1:16" x14ac:dyDescent="0.25">
      <c r="A136"/>
      <c r="I136"/>
      <c r="J136"/>
      <c r="K136"/>
      <c r="L136"/>
      <c r="N136"/>
      <c r="O136"/>
      <c r="P136"/>
    </row>
    <row r="137" spans="1:16" x14ac:dyDescent="0.25">
      <c r="A137"/>
      <c r="I137"/>
      <c r="J137"/>
      <c r="K137"/>
      <c r="L137"/>
      <c r="N137"/>
      <c r="O137"/>
      <c r="P137"/>
    </row>
    <row r="138" spans="1:16" x14ac:dyDescent="0.25">
      <c r="A138"/>
      <c r="I138"/>
      <c r="J138"/>
      <c r="K138"/>
      <c r="L138"/>
      <c r="N138"/>
      <c r="O138"/>
      <c r="P138"/>
    </row>
    <row r="139" spans="1:16" x14ac:dyDescent="0.25">
      <c r="A139"/>
      <c r="I139"/>
      <c r="J139"/>
      <c r="K139"/>
      <c r="L139"/>
      <c r="N139"/>
      <c r="O139"/>
      <c r="P139"/>
    </row>
    <row r="140" spans="1:16" x14ac:dyDescent="0.25">
      <c r="A140"/>
      <c r="I140"/>
      <c r="J140"/>
      <c r="K140"/>
      <c r="L140"/>
      <c r="N140"/>
      <c r="O140"/>
      <c r="P140"/>
    </row>
    <row r="141" spans="1:16" x14ac:dyDescent="0.25">
      <c r="A141"/>
      <c r="I141"/>
      <c r="J141"/>
      <c r="K141"/>
      <c r="L141"/>
      <c r="N141"/>
      <c r="O141"/>
      <c r="P141"/>
    </row>
    <row r="142" spans="1:16" x14ac:dyDescent="0.25">
      <c r="A142"/>
      <c r="I142"/>
      <c r="J142"/>
      <c r="K142"/>
      <c r="L142"/>
      <c r="N142"/>
      <c r="O142"/>
      <c r="P142"/>
    </row>
    <row r="143" spans="1:16" x14ac:dyDescent="0.25">
      <c r="A143"/>
      <c r="I143"/>
      <c r="J143"/>
      <c r="K143"/>
      <c r="L143"/>
      <c r="N143"/>
      <c r="O143"/>
      <c r="P143"/>
    </row>
    <row r="144" spans="1:16" x14ac:dyDescent="0.25">
      <c r="A144"/>
      <c r="I144"/>
      <c r="J144"/>
      <c r="K144"/>
      <c r="L144"/>
      <c r="N144"/>
      <c r="O144"/>
      <c r="P144"/>
    </row>
    <row r="145" spans="1:16" x14ac:dyDescent="0.25">
      <c r="A145"/>
      <c r="I145"/>
      <c r="J145"/>
      <c r="K145"/>
      <c r="L145"/>
      <c r="N145"/>
      <c r="O145"/>
      <c r="P145"/>
    </row>
    <row r="146" spans="1:16" x14ac:dyDescent="0.25">
      <c r="A146"/>
      <c r="I146"/>
      <c r="J146"/>
      <c r="K146"/>
      <c r="L146"/>
      <c r="N146"/>
      <c r="O146"/>
      <c r="P146"/>
    </row>
    <row r="147" spans="1:16" x14ac:dyDescent="0.25">
      <c r="A147"/>
      <c r="I147"/>
      <c r="J147"/>
      <c r="K147"/>
      <c r="L147"/>
      <c r="N147"/>
      <c r="O147"/>
      <c r="P147"/>
    </row>
    <row r="148" spans="1:16" x14ac:dyDescent="0.25">
      <c r="A148"/>
      <c r="I148"/>
      <c r="J148"/>
      <c r="K148"/>
      <c r="L148"/>
      <c r="N148"/>
      <c r="O148"/>
      <c r="P148"/>
    </row>
    <row r="149" spans="1:16" x14ac:dyDescent="0.25">
      <c r="A149"/>
      <c r="I149"/>
      <c r="J149"/>
      <c r="K149"/>
      <c r="L149"/>
      <c r="N149"/>
      <c r="O149"/>
      <c r="P149"/>
    </row>
    <row r="150" spans="1:16" x14ac:dyDescent="0.25">
      <c r="A150"/>
      <c r="I150"/>
      <c r="J150"/>
      <c r="K150"/>
      <c r="L150"/>
      <c r="N150"/>
      <c r="O150"/>
      <c r="P150"/>
    </row>
    <row r="151" spans="1:16" x14ac:dyDescent="0.25">
      <c r="A151"/>
      <c r="I151"/>
      <c r="J151"/>
      <c r="K151"/>
      <c r="L151"/>
      <c r="N151"/>
      <c r="O151"/>
      <c r="P151"/>
    </row>
    <row r="152" spans="1:16" x14ac:dyDescent="0.25">
      <c r="A152"/>
      <c r="I152"/>
      <c r="J152"/>
      <c r="K152"/>
      <c r="L152"/>
      <c r="N152"/>
      <c r="O152"/>
      <c r="P152"/>
    </row>
    <row r="153" spans="1:16" x14ac:dyDescent="0.25">
      <c r="A153"/>
      <c r="I153"/>
      <c r="J153"/>
      <c r="K153"/>
      <c r="L153"/>
      <c r="N153"/>
      <c r="O153"/>
      <c r="P153"/>
    </row>
    <row r="154" spans="1:16" x14ac:dyDescent="0.25">
      <c r="A154"/>
      <c r="I154"/>
      <c r="J154"/>
      <c r="K154"/>
      <c r="L154"/>
      <c r="N154"/>
      <c r="O154"/>
      <c r="P154"/>
    </row>
    <row r="155" spans="1:16" x14ac:dyDescent="0.25">
      <c r="A155"/>
      <c r="I155"/>
      <c r="J155"/>
      <c r="K155"/>
      <c r="L155"/>
      <c r="N155"/>
      <c r="O155"/>
      <c r="P155"/>
    </row>
  </sheetData>
  <autoFilter ref="A1:Q76" xr:uid="{6EA3F576-E23E-4770-97D2-C4568F3ED638}"/>
  <sortState ref="A3:Q67">
    <sortCondition ref="D3:D67"/>
    <sortCondition ref="A3:A67"/>
  </sortState>
  <conditionalFormatting sqref="O71:O76 G2:G67 G71:G76 N2:N67 I2:L67">
    <cfRule type="cellIs" dxfId="109" priority="120" operator="equal">
      <formula>"no"</formula>
    </cfRule>
    <cfRule type="cellIs" dxfId="108" priority="121" operator="equal">
      <formula>"yes"</formula>
    </cfRule>
  </conditionalFormatting>
  <conditionalFormatting sqref="O2:O67">
    <cfRule type="cellIs" dxfId="107" priority="80" operator="equal">
      <formula>"no"</formula>
    </cfRule>
    <cfRule type="cellIs" dxfId="106" priority="81" operator="equal">
      <formula>"yes"</formula>
    </cfRule>
  </conditionalFormatting>
  <conditionalFormatting sqref="K156:K1048576 P71:P76 K1:K67 P2:P67">
    <cfRule type="cellIs" dxfId="105" priority="42" operator="equal">
      <formula>"""no"""</formula>
    </cfRule>
    <cfRule type="cellIs" dxfId="104" priority="43" operator="equal">
      <formula>"""no"""</formula>
    </cfRule>
  </conditionalFormatting>
  <conditionalFormatting sqref="P71:P76 P2:P67">
    <cfRule type="cellIs" dxfId="103" priority="40" operator="equal">
      <formula>"no"</formula>
    </cfRule>
    <cfRule type="cellIs" dxfId="102" priority="41" operator="equal">
      <formula>"yes"</formula>
    </cfRule>
  </conditionalFormatting>
  <conditionalFormatting sqref="I2:I67">
    <cfRule type="cellIs" dxfId="101" priority="12" operator="equal">
      <formula>"within 10%"</formula>
    </cfRule>
  </conditionalFormatting>
  <conditionalFormatting sqref="K1:K1048576">
    <cfRule type="cellIs" dxfId="100" priority="10" operator="equal">
      <formula>"no"</formula>
    </cfRule>
    <cfRule type="cellIs" dxfId="99" priority="11" operator="equal">
      <formula>"yes"</formula>
    </cfRule>
  </conditionalFormatting>
  <conditionalFormatting sqref="N2:N67">
    <cfRule type="cellIs" dxfId="98" priority="9" operator="equal">
      <formula>"within 10%"</formula>
    </cfRule>
  </conditionalFormatting>
  <conditionalFormatting sqref="I70:I74">
    <cfRule type="cellIs" dxfId="97" priority="7" operator="equal">
      <formula>"yes"</formula>
    </cfRule>
    <cfRule type="cellIs" dxfId="96" priority="8" operator="equal">
      <formula>"no"</formula>
    </cfRule>
  </conditionalFormatting>
  <conditionalFormatting sqref="I70:I74">
    <cfRule type="cellIs" dxfId="95" priority="6" operator="equal">
      <formula>"within 10%"</formula>
    </cfRule>
  </conditionalFormatting>
  <conditionalFormatting sqref="N70">
    <cfRule type="cellIs" dxfId="94" priority="4" operator="equal">
      <formula>"yes"</formula>
    </cfRule>
    <cfRule type="cellIs" dxfId="93" priority="5" operator="equal">
      <formula>"no"</formula>
    </cfRule>
  </conditionalFormatting>
  <conditionalFormatting sqref="N70">
    <cfRule type="cellIs" dxfId="92" priority="3" operator="equal">
      <formula>"within 10%"</formula>
    </cfRule>
  </conditionalFormatting>
  <conditionalFormatting sqref="P70">
    <cfRule type="cellIs" dxfId="91" priority="1" operator="equal">
      <formula>"no"</formula>
    </cfRule>
    <cfRule type="cellIs" dxfId="90" priority="2" operator="equal">
      <formula>"yes"</formula>
    </cfRule>
  </conditionalFormatting>
  <pageMargins left="0.25" right="0.25" top="0.75" bottom="0.75" header="0.3" footer="0.3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H50"/>
  <sheetViews>
    <sheetView tabSelected="1" zoomScale="82" zoomScaleNormal="82" workbookViewId="0">
      <pane xSplit="1" topLeftCell="B1" activePane="topRight" state="frozen"/>
      <selection pane="topRight" activeCell="H9" sqref="H9"/>
    </sheetView>
  </sheetViews>
  <sheetFormatPr defaultRowHeight="15" x14ac:dyDescent="0.25"/>
  <cols>
    <col min="1" max="1" width="0.140625" style="8" customWidth="1"/>
    <col min="2" max="2" width="36.5703125" style="8" bestFit="1" customWidth="1"/>
    <col min="3" max="3" width="8.85546875" style="8" customWidth="1"/>
    <col min="4" max="4" width="7.5703125" style="8" customWidth="1"/>
    <col min="5" max="5" width="0.28515625" style="8" customWidth="1"/>
    <col min="6" max="6" width="8.140625" style="8" customWidth="1"/>
    <col min="7" max="7" width="11" style="8" customWidth="1"/>
    <col min="8" max="8" width="12.140625" style="8" bestFit="1" customWidth="1"/>
    <col min="9" max="9" width="7" style="8" customWidth="1"/>
    <col min="10" max="10" width="12.85546875" style="8" customWidth="1"/>
    <col min="11" max="11" width="10.7109375" style="8" customWidth="1"/>
    <col min="12" max="12" width="11.140625" style="8" customWidth="1"/>
    <col min="13" max="13" width="10.7109375" style="8" customWidth="1"/>
    <col min="14" max="14" width="9.28515625" style="8" customWidth="1"/>
    <col min="15" max="15" width="11.28515625" style="8" customWidth="1"/>
    <col min="16" max="16" width="11.7109375" style="8" customWidth="1"/>
    <col min="17" max="17" width="1" style="16" hidden="1" customWidth="1"/>
    <col min="18" max="18" width="25.140625" style="16" hidden="1" customWidth="1"/>
    <col min="19" max="19" width="20.28515625" style="16" hidden="1" customWidth="1"/>
    <col min="20" max="20" width="20.42578125" style="16" hidden="1" customWidth="1"/>
    <col min="21" max="21" width="10.85546875" style="8" customWidth="1"/>
    <col min="22" max="22" width="10.42578125" style="16" customWidth="1"/>
    <col min="23" max="23" width="11" style="8" customWidth="1"/>
    <col min="24" max="24" width="15.140625" style="8" customWidth="1"/>
    <col min="25" max="25" width="12.42578125" style="8" customWidth="1"/>
    <col min="26" max="26" width="12.140625" style="26" customWidth="1"/>
    <col min="27" max="16384" width="9.140625" style="8"/>
  </cols>
  <sheetData>
    <row r="1" spans="1:26" ht="89.25" customHeight="1" x14ac:dyDescent="0.25">
      <c r="A1" s="8" t="s">
        <v>70</v>
      </c>
      <c r="B1" s="6" t="s">
        <v>14</v>
      </c>
      <c r="C1" s="6" t="s">
        <v>8</v>
      </c>
      <c r="D1" s="6" t="s">
        <v>7</v>
      </c>
      <c r="E1" s="6" t="s">
        <v>51</v>
      </c>
      <c r="F1" s="6" t="s">
        <v>59</v>
      </c>
      <c r="G1" s="6" t="s">
        <v>76</v>
      </c>
      <c r="H1" s="6" t="s">
        <v>60</v>
      </c>
      <c r="I1" s="6" t="s">
        <v>131</v>
      </c>
      <c r="J1" s="6" t="s">
        <v>74</v>
      </c>
      <c r="K1" s="6" t="s">
        <v>124</v>
      </c>
      <c r="L1" s="6" t="s">
        <v>75</v>
      </c>
      <c r="M1" s="6" t="s">
        <v>61</v>
      </c>
      <c r="N1" s="6" t="s">
        <v>62</v>
      </c>
      <c r="O1" s="6" t="s">
        <v>125</v>
      </c>
      <c r="P1" s="6" t="s">
        <v>126</v>
      </c>
      <c r="Q1" s="17" t="s">
        <v>63</v>
      </c>
      <c r="R1" s="17" t="s">
        <v>64</v>
      </c>
      <c r="S1" s="17" t="s">
        <v>65</v>
      </c>
      <c r="T1" s="17" t="s">
        <v>66</v>
      </c>
      <c r="U1" s="6" t="s">
        <v>77</v>
      </c>
      <c r="V1" s="17" t="s">
        <v>67</v>
      </c>
      <c r="W1" s="6" t="s">
        <v>68</v>
      </c>
      <c r="X1" s="6" t="s">
        <v>78</v>
      </c>
      <c r="Y1" s="6" t="s">
        <v>127</v>
      </c>
      <c r="Z1" s="25" t="s">
        <v>128</v>
      </c>
    </row>
    <row r="2" spans="1:26" ht="20.25" customHeight="1" x14ac:dyDescent="0.25">
      <c r="A2" s="8" t="str">
        <f>_xlfn.CONCAT(B2,F2)</f>
        <v>Anchor Medical Associates2017</v>
      </c>
      <c r="B2" s="19" t="s">
        <v>84</v>
      </c>
      <c r="C2" s="15" t="s">
        <v>29</v>
      </c>
      <c r="D2" s="40">
        <v>1</v>
      </c>
      <c r="E2" s="15" t="s">
        <v>27</v>
      </c>
      <c r="F2" s="40">
        <v>2017</v>
      </c>
      <c r="G2" s="7" t="str">
        <f>IF($F2='Contract Adjudication Notes'!$D$9,IF($D2='Contract Adjudication Notes'!$D$6,"Start up",IFERROR(VLOOKUP($B2&amp;'Contract Adjudication Notes'!$D$10,$A$2:$Y$35,8,FALSE),"NA")),"")</f>
        <v/>
      </c>
      <c r="H2" s="14">
        <v>75.099999999999994</v>
      </c>
      <c r="I2" s="7">
        <v>79</v>
      </c>
      <c r="J2" s="7" t="str">
        <f>IF((H2&gt;=I2),"yes",IF(H2&gt;=(I2*0.9),"within 10%","no"))</f>
        <v>within 10%</v>
      </c>
      <c r="K2" s="7" t="str">
        <f>IF(AND($F2='Contract Adjudication Notes'!$D$9, NOT($D2='Contract Adjudication Notes'!$D$6), OR(J2="no",J2="within 10%")), IF(OR(G2=0,G2="NA")," ",IF((((H2-G2)/G2)&gt;='Contract Adjudication Notes'!$D$11),"yes","no")),"")</f>
        <v/>
      </c>
      <c r="L2" s="7" t="str">
        <f>IF($F2='Contract Adjudication Notes'!$D$9,IF($D2='Contract Adjudication Notes'!$D$6,"Start up",IFERROR(VLOOKUP($B2&amp;'Contract Adjudication Notes'!$D$10,$A$2:$Y$35,13,FALSE),"NA")),"")</f>
        <v/>
      </c>
      <c r="M2" s="14">
        <v>82.6</v>
      </c>
      <c r="N2" s="7">
        <v>90</v>
      </c>
      <c r="O2" s="7" t="str">
        <f>IF((M2&gt;=N2),"yes",IF(M2&gt;=(N2*0.9),"within 10%","no"))</f>
        <v>within 10%</v>
      </c>
      <c r="P2" s="7" t="str">
        <f>IF(AND($F2='Contract Adjudication Notes'!$D$9, NOT($D2='Contract Adjudication Notes'!$D$6), OR(O2="no",O2="within 10%")), IF(OR(L2=0,L2="NA")," ",IF((((M2-L2)/L2)&gt;='Contract Adjudication Notes'!$D$11),"yes","no")),"")</f>
        <v/>
      </c>
      <c r="Q2" s="20"/>
      <c r="R2" s="20"/>
      <c r="S2" s="20"/>
      <c r="T2" s="20"/>
      <c r="U2" s="7" t="str">
        <f>IF($F2='Contract Adjudication Notes'!$D$9,IF($D2='Contract Adjudication Notes'!$D$6,"Start up",IFERROR(VLOOKUP($B2&amp;'Contract Adjudication Notes'!$D$10,$A$2:$Y$35,22,FALSE),"NA")),"")</f>
        <v/>
      </c>
      <c r="V2" s="14">
        <v>65.599999999999994</v>
      </c>
      <c r="W2" s="7">
        <v>75</v>
      </c>
      <c r="X2" s="7" t="str">
        <f>IF((V2&gt;=W2),"yes",IF(V2&gt;=(W2*0.9),"within 10%","no"))</f>
        <v>no</v>
      </c>
      <c r="Y2" s="7" t="str">
        <f>IF(AND($F2='Contract Adjudication Notes'!$D$9, NOT($D2='Contract Adjudication Notes'!$D$6), OR(X2="no",X2="within 10%")), IF(OR(U2=0,U2="NA")," ",IF((((V2-U2)/U2)&gt;='Contract Adjudication Notes'!$D$11),"yes","no")),"")</f>
        <v/>
      </c>
      <c r="Z2" s="24" t="str">
        <f>IF(($F2='Contract Adjudication Notes'!$D$9),IF((COUNTIF(J2:Y2,"yes")&gt;=2),"yes","no"),"")</f>
        <v/>
      </c>
    </row>
    <row r="3" spans="1:26" ht="21.75" customHeight="1" x14ac:dyDescent="0.25">
      <c r="A3" s="8" t="str">
        <f>_xlfn.CONCAT(B3,F3)</f>
        <v>Anchor Medical Associates2018</v>
      </c>
      <c r="B3" s="19" t="s">
        <v>84</v>
      </c>
      <c r="C3" s="15" t="s">
        <v>29</v>
      </c>
      <c r="D3" s="40">
        <v>1</v>
      </c>
      <c r="E3" s="15" t="s">
        <v>27</v>
      </c>
      <c r="F3" s="40">
        <v>2018</v>
      </c>
      <c r="G3" s="7">
        <f>IF($F3='Contract Adjudication Notes'!$D$9,IF($D3='Contract Adjudication Notes'!$D$6,"Start up",IFERROR(VLOOKUP($B3&amp;'Contract Adjudication Notes'!$D$10,$A$2:$Y$35,8,FALSE),"NA")),"")</f>
        <v>75.099999999999994</v>
      </c>
      <c r="H3" s="14">
        <v>76.73</v>
      </c>
      <c r="I3" s="7">
        <v>79</v>
      </c>
      <c r="J3" s="7" t="str">
        <f>IF((H3&gt;=I3),"yes",IF(H3&gt;=(I3*0.9),"within 10%","no"))</f>
        <v>within 10%</v>
      </c>
      <c r="K3" s="7" t="str">
        <f>IF(AND($F3='Contract Adjudication Notes'!$D$9, NOT($D3='Contract Adjudication Notes'!$D$6), OR(J3="no",J3="within 10%")), IF(OR(G3=0,G3="NA")," ",IF((((H3-G3)/G3)&gt;='Contract Adjudication Notes'!$D$11),"yes","no")),"")</f>
        <v>yes</v>
      </c>
      <c r="L3" s="7">
        <f>IF($F3='Contract Adjudication Notes'!$D$9,IF($D3='Contract Adjudication Notes'!$D$6,"Start up",IFERROR(VLOOKUP($B3&amp;'Contract Adjudication Notes'!$D$10,$A$2:$Y$35,13,FALSE),"NA")),"")</f>
        <v>82.6</v>
      </c>
      <c r="M3" s="14">
        <v>91.83</v>
      </c>
      <c r="N3" s="7">
        <v>90</v>
      </c>
      <c r="O3" s="7" t="str">
        <f>IF((M3&gt;=N3),"yes",IF(M3&gt;=(N3*0.9),"within 10%","no"))</f>
        <v>yes</v>
      </c>
      <c r="P3" s="7" t="str">
        <f>IF(AND($F3='Contract Adjudication Notes'!$D$9, NOT($D3='Contract Adjudication Notes'!$D$6), OR(O3="no",O3="within 10%")), IF(OR(L3=0,L3="NA")," ",IF((((M3-L3)/L3)&gt;='Contract Adjudication Notes'!$D$11),"yes","no")),"")</f>
        <v/>
      </c>
      <c r="Q3" s="23"/>
      <c r="R3" s="23"/>
      <c r="S3" s="23"/>
      <c r="T3" s="23"/>
      <c r="U3" s="7">
        <f>IF($F3='Contract Adjudication Notes'!$D$9,IF($D3='Contract Adjudication Notes'!$D$6,"Start up",IFERROR(VLOOKUP($B3&amp;'Contract Adjudication Notes'!$D$10,$A$2:$Y$35,22,FALSE),"NA")),"")</f>
        <v>65.599999999999994</v>
      </c>
      <c r="V3" s="14">
        <v>60.87</v>
      </c>
      <c r="W3" s="7">
        <v>75</v>
      </c>
      <c r="X3" s="7" t="str">
        <f>IF((V3&gt;=W3),"yes",IF(V3&gt;=(W3*0.9),"within 10%","no"))</f>
        <v>no</v>
      </c>
      <c r="Y3" s="7" t="str">
        <f>IF(AND($F3='Contract Adjudication Notes'!$D$9, NOT($D3='Contract Adjudication Notes'!$D$6), OR(X3="no",X3="within 10%")), IF(OR(U3=0,U3="NA")," ",IF((((V3-U3)/U3)&gt;='Contract Adjudication Notes'!$D$11),"yes","no")),"")</f>
        <v>no</v>
      </c>
      <c r="Z3" s="24" t="str">
        <f>IF(($F3='Contract Adjudication Notes'!$D$9),IF((COUNTIF(J3:Y3,"yes")&gt;=2),"yes","no"),"")</f>
        <v>yes</v>
      </c>
    </row>
    <row r="4" spans="1:26" ht="15.75" customHeight="1" x14ac:dyDescent="0.25">
      <c r="A4" s="8" t="str">
        <f>_xlfn.CONCAT(B4,F4)</f>
        <v>Coastal Narragansett Bay Pediatrics2017</v>
      </c>
      <c r="B4" s="19" t="s">
        <v>105</v>
      </c>
      <c r="C4" s="19" t="s">
        <v>20</v>
      </c>
      <c r="D4" s="60">
        <v>1</v>
      </c>
      <c r="E4" s="15" t="s">
        <v>18</v>
      </c>
      <c r="F4" s="40">
        <v>2017</v>
      </c>
      <c r="G4" s="7" t="str">
        <f>IF($F4='Contract Adjudication Notes'!$D$9,IF($D4='Contract Adjudication Notes'!$D$6,"Start up",IFERROR(VLOOKUP($B4&amp;'Contract Adjudication Notes'!$D$10,$A$2:$Y$35,8,FALSE),"NA")),"")</f>
        <v/>
      </c>
      <c r="H4" s="14">
        <v>87.7</v>
      </c>
      <c r="I4" s="7">
        <v>79</v>
      </c>
      <c r="J4" s="7" t="str">
        <f>IF((H4&gt;=I4),"yes",IF(H4&gt;=(I4*0.9),"within 10%","no"))</f>
        <v>yes</v>
      </c>
      <c r="K4" s="7" t="str">
        <f>IF(AND($F4='Contract Adjudication Notes'!$D$9, NOT($D4='Contract Adjudication Notes'!$D$6), OR(J4="no",J4="within 10%")), IF(OR(G4=0,G4="NA")," ",IF((((H4-G4)/G4)&gt;='Contract Adjudication Notes'!$D$11),"yes","no")),"")</f>
        <v/>
      </c>
      <c r="L4" s="7" t="str">
        <f>IF($F4='Contract Adjudication Notes'!$D$9,IF($D4='Contract Adjudication Notes'!$D$6,"Start up",IFERROR(VLOOKUP($B4&amp;'Contract Adjudication Notes'!$D$10,$A$2:$Y$35,13,FALSE),"NA")),"")</f>
        <v/>
      </c>
      <c r="M4" s="14">
        <v>95.3</v>
      </c>
      <c r="N4" s="7">
        <v>90</v>
      </c>
      <c r="O4" s="7" t="str">
        <f>IF((M4&gt;=N4),"yes",IF(M4&gt;=(N4*0.9),"within 10%","no"))</f>
        <v>yes</v>
      </c>
      <c r="P4" s="7" t="str">
        <f>IF(AND($F4='Contract Adjudication Notes'!$D$9, NOT($D4='Contract Adjudication Notes'!$D$6), OR(O4="no",O4="within 10%")), IF(OR(L4=0,L4="NA")," ",IF((((M4-L4)/L4)&gt;='Contract Adjudication Notes'!$D$11),"yes","no")),"")</f>
        <v/>
      </c>
      <c r="Q4" s="20"/>
      <c r="R4" s="20"/>
      <c r="S4" s="20"/>
      <c r="T4" s="20"/>
      <c r="U4" s="7" t="str">
        <f>IF($F4='Contract Adjudication Notes'!$D$9,IF($D4='Contract Adjudication Notes'!$D$6,"Start up",IFERROR(VLOOKUP($B4&amp;'Contract Adjudication Notes'!$D$10,$A$2:$Y$35,22,FALSE),"NA")),"")</f>
        <v/>
      </c>
      <c r="V4" s="14">
        <v>86.9</v>
      </c>
      <c r="W4" s="7">
        <v>75</v>
      </c>
      <c r="X4" s="7" t="str">
        <f>IF((V4&gt;=W4),"yes",IF(V4&gt;=(W4*0.9),"within 10%","no"))</f>
        <v>yes</v>
      </c>
      <c r="Y4" s="7" t="str">
        <f>IF(AND($F4='Contract Adjudication Notes'!$D$9, NOT($D4='Contract Adjudication Notes'!$D$6), OR(X4="no",X4="within 10%")), IF(OR(U4=0,U4="NA")," ",IF((((V4-U4)/U4)&gt;='Contract Adjudication Notes'!$D$11),"yes","no")),"")</f>
        <v/>
      </c>
      <c r="Z4" s="24" t="str">
        <f>IF(($F4='Contract Adjudication Notes'!$D$9),IF((COUNTIF(J4:Y4,"yes")&gt;=2),"yes","no"),"")</f>
        <v/>
      </c>
    </row>
    <row r="5" spans="1:26" ht="18.75" customHeight="1" x14ac:dyDescent="0.25">
      <c r="A5" s="8" t="str">
        <f>_xlfn.CONCAT(B5,F5)</f>
        <v>Coastal Narragansett Bay Pediatrics2018</v>
      </c>
      <c r="B5" s="19" t="s">
        <v>105</v>
      </c>
      <c r="C5" s="19" t="s">
        <v>20</v>
      </c>
      <c r="D5" s="60">
        <v>1</v>
      </c>
      <c r="E5" s="15" t="s">
        <v>18</v>
      </c>
      <c r="F5" s="40">
        <v>2018</v>
      </c>
      <c r="G5" s="7">
        <f>IF($F5='Contract Adjudication Notes'!$D$9,IF($D5='Contract Adjudication Notes'!$D$6,"Start up",IFERROR(VLOOKUP($B5&amp;'Contract Adjudication Notes'!$D$10,$A$2:$Y$35,8,FALSE),"NA")),"")</f>
        <v>87.7</v>
      </c>
      <c r="H5" s="14">
        <v>79.94</v>
      </c>
      <c r="I5" s="7">
        <v>79</v>
      </c>
      <c r="J5" s="7" t="str">
        <f>IF((H5&gt;=I5),"yes",IF(H5&gt;=(I5*0.9),"within 10%","no"))</f>
        <v>yes</v>
      </c>
      <c r="K5" s="7" t="str">
        <f>IF(AND($F5='Contract Adjudication Notes'!$D$9, NOT($D5='Contract Adjudication Notes'!$D$6), OR(J5="no",J5="within 10%")), IF(OR(G5=0,G5="NA")," ",IF((((H5-G5)/G5)&gt;='Contract Adjudication Notes'!$D$11),"yes","no")),"")</f>
        <v/>
      </c>
      <c r="L5" s="7">
        <f>IF($F5='Contract Adjudication Notes'!$D$9,IF($D5='Contract Adjudication Notes'!$D$6,"Start up",IFERROR(VLOOKUP($B5&amp;'Contract Adjudication Notes'!$D$10,$A$2:$Y$35,13,FALSE),"NA")),"")</f>
        <v>95.3</v>
      </c>
      <c r="M5" s="14">
        <v>88.3</v>
      </c>
      <c r="N5" s="7">
        <v>90</v>
      </c>
      <c r="O5" s="7" t="str">
        <f>IF((M5&gt;=N5),"yes",IF(M5&gt;=(N5*0.9),"within 10%","no"))</f>
        <v>within 10%</v>
      </c>
      <c r="P5" s="7" t="str">
        <f>IF(AND($F5='Contract Adjudication Notes'!$D$9, NOT($D5='Contract Adjudication Notes'!$D$6), OR(O5="no",O5="within 10%")), IF(OR(L5=0,L5="NA")," ",IF((((M5-L5)/L5)&gt;='Contract Adjudication Notes'!$D$11),"yes","no")),"")</f>
        <v>no</v>
      </c>
      <c r="Q5" s="20"/>
      <c r="R5" s="20"/>
      <c r="S5" s="20"/>
      <c r="T5" s="20"/>
      <c r="U5" s="7">
        <f>IF($F5='Contract Adjudication Notes'!$D$9,IF($D5='Contract Adjudication Notes'!$D$6,"Start up",IFERROR(VLOOKUP($B5&amp;'Contract Adjudication Notes'!$D$10,$A$2:$Y$35,22,FALSE),"NA")),"")</f>
        <v>86.9</v>
      </c>
      <c r="V5" s="14">
        <v>79.36</v>
      </c>
      <c r="W5" s="7">
        <v>75</v>
      </c>
      <c r="X5" s="7" t="str">
        <f>IF((V5&gt;=W5),"yes",IF(V5&gt;=(W5*0.9),"within 10%","no"))</f>
        <v>yes</v>
      </c>
      <c r="Y5" s="7" t="str">
        <f>IF(AND($F5='Contract Adjudication Notes'!$D$9, NOT($D5='Contract Adjudication Notes'!$D$6), OR(X5="no",X5="within 10%")), IF(OR(U5=0,U5="NA")," ",IF((((V5-U5)/U5)&gt;='Contract Adjudication Notes'!$D$11),"yes","no")),"")</f>
        <v/>
      </c>
      <c r="Z5" s="24" t="str">
        <f>IF(($F5='Contract Adjudication Notes'!$D$9),IF((COUNTIF(J5:Y5,"yes")&gt;=2),"yes","no"),"")</f>
        <v>yes</v>
      </c>
    </row>
    <row r="6" spans="1:26" ht="19.5" customHeight="1" x14ac:dyDescent="0.25">
      <c r="A6" s="8" t="str">
        <f>_xlfn.CONCAT(B6,F6)</f>
        <v>Coastal Waterman Pediatrics2017</v>
      </c>
      <c r="B6" s="19" t="s">
        <v>103</v>
      </c>
      <c r="C6" s="15" t="s">
        <v>20</v>
      </c>
      <c r="D6" s="40">
        <v>1</v>
      </c>
      <c r="E6" s="15" t="s">
        <v>27</v>
      </c>
      <c r="F6" s="40">
        <v>2017</v>
      </c>
      <c r="G6" s="7" t="str">
        <f>IF($F6='Contract Adjudication Notes'!$D$9,IF($D6='Contract Adjudication Notes'!$D$6,"Start up",IFERROR(VLOOKUP($B6&amp;'Contract Adjudication Notes'!$D$10,$A$2:$Y$35,8,FALSE),"NA")),"")</f>
        <v/>
      </c>
      <c r="H6" s="14">
        <v>79.099999999999994</v>
      </c>
      <c r="I6" s="7">
        <v>79</v>
      </c>
      <c r="J6" s="7" t="str">
        <f>IF((H6&gt;=I6),"yes",IF(H6&gt;=(I6*0.9),"within 10%","no"))</f>
        <v>yes</v>
      </c>
      <c r="K6" s="7" t="str">
        <f>IF(AND($F6='Contract Adjudication Notes'!$D$9, NOT($D6='Contract Adjudication Notes'!$D$6), OR(J6="no",J6="within 10%")), IF(OR(G6=0,G6="NA")," ",IF((((H6-G6)/G6)&gt;='Contract Adjudication Notes'!$D$11),"yes","no")),"")</f>
        <v/>
      </c>
      <c r="L6" s="7" t="str">
        <f>IF($F6='Contract Adjudication Notes'!$D$9,IF($D6='Contract Adjudication Notes'!$D$6,"Start up",IFERROR(VLOOKUP($B6&amp;'Contract Adjudication Notes'!$D$10,$A$2:$Y$35,13,FALSE),"NA")),"")</f>
        <v/>
      </c>
      <c r="M6" s="14">
        <v>92.7</v>
      </c>
      <c r="N6" s="7">
        <v>90</v>
      </c>
      <c r="O6" s="7" t="str">
        <f>IF((M6&gt;=N6),"yes",IF(M6&gt;=(N6*0.9),"within 10%","no"))</f>
        <v>yes</v>
      </c>
      <c r="P6" s="7" t="str">
        <f>IF(AND($F6='Contract Adjudication Notes'!$D$9, NOT($D6='Contract Adjudication Notes'!$D$6), OR(O6="no",O6="within 10%")), IF(OR(L6=0,L6="NA")," ",IF((((M6-L6)/L6)&gt;='Contract Adjudication Notes'!$D$11),"yes","no")),"")</f>
        <v/>
      </c>
      <c r="Q6" s="20"/>
      <c r="R6" s="20"/>
      <c r="S6" s="20"/>
      <c r="T6" s="20"/>
      <c r="U6" s="7" t="str">
        <f>IF($F6='Contract Adjudication Notes'!$D$9,IF($D6='Contract Adjudication Notes'!$D$6,"Start up",IFERROR(VLOOKUP($B6&amp;'Contract Adjudication Notes'!$D$10,$A$2:$Y$35,22,FALSE),"NA")),"")</f>
        <v/>
      </c>
      <c r="V6" s="14">
        <v>89.4</v>
      </c>
      <c r="W6" s="7">
        <v>75</v>
      </c>
      <c r="X6" s="7" t="str">
        <f>IF((V6&gt;=W6),"yes",IF(V6&gt;=(W6*0.9),"within 10%","no"))</f>
        <v>yes</v>
      </c>
      <c r="Y6" s="7" t="str">
        <f>IF(AND($F6='Contract Adjudication Notes'!$D$9, NOT($D6='Contract Adjudication Notes'!$D$6), OR(X6="no",X6="within 10%")), IF(OR(U6=0,U6="NA")," ",IF((((V6-U6)/U6)&gt;='Contract Adjudication Notes'!$D$11),"yes","no")),"")</f>
        <v/>
      </c>
      <c r="Z6" s="24" t="str">
        <f>IF(($F6='Contract Adjudication Notes'!$D$9),IF((COUNTIF(J6:Y6,"yes")&gt;=2),"yes","no"),"")</f>
        <v/>
      </c>
    </row>
    <row r="7" spans="1:26" ht="15.75" customHeight="1" x14ac:dyDescent="0.25">
      <c r="A7" s="8" t="str">
        <f>_xlfn.CONCAT(B7,F7)</f>
        <v>Coastal Waterman Pediatrics2018</v>
      </c>
      <c r="B7" s="19" t="s">
        <v>103</v>
      </c>
      <c r="C7" s="15" t="s">
        <v>20</v>
      </c>
      <c r="D7" s="40">
        <v>1</v>
      </c>
      <c r="E7" s="15" t="s">
        <v>27</v>
      </c>
      <c r="F7" s="40">
        <v>2018</v>
      </c>
      <c r="G7" s="7">
        <f>IF($F7='Contract Adjudication Notes'!$D$9,IF($D7='Contract Adjudication Notes'!$D$6,"Start up",IFERROR(VLOOKUP($B7&amp;'Contract Adjudication Notes'!$D$10,$A$2:$Y$35,8,FALSE),"NA")),"")</f>
        <v>79.099999999999994</v>
      </c>
      <c r="H7" s="14">
        <v>81.180000000000007</v>
      </c>
      <c r="I7" s="7">
        <v>79</v>
      </c>
      <c r="J7" s="7" t="str">
        <f>IF((H7&gt;=I7),"yes",IF(H7&gt;=(I7*0.9),"within 10%","no"))</f>
        <v>yes</v>
      </c>
      <c r="K7" s="7" t="str">
        <f>IF(AND($F7='Contract Adjudication Notes'!$D$9, NOT($D7='Contract Adjudication Notes'!$D$6), OR(J7="no",J7="within 10%")), IF(OR(G7=0,G7="NA")," ",IF((((H7-G7)/G7)&gt;='Contract Adjudication Notes'!$D$11),"yes","no")),"")</f>
        <v/>
      </c>
      <c r="L7" s="7">
        <f>IF($F7='Contract Adjudication Notes'!$D$9,IF($D7='Contract Adjudication Notes'!$D$6,"Start up",IFERROR(VLOOKUP($B7&amp;'Contract Adjudication Notes'!$D$10,$A$2:$Y$35,13,FALSE),"NA")),"")</f>
        <v>92.7</v>
      </c>
      <c r="M7" s="14">
        <v>95.5</v>
      </c>
      <c r="N7" s="7">
        <v>90</v>
      </c>
      <c r="O7" s="7" t="str">
        <f>IF((M7&gt;=N7),"yes",IF(M7&gt;=(N7*0.9),"within 10%","no"))</f>
        <v>yes</v>
      </c>
      <c r="P7" s="7" t="str">
        <f>IF(AND($F7='Contract Adjudication Notes'!$D$9, NOT($D7='Contract Adjudication Notes'!$D$6), OR(O7="no",O7="within 10%")), IF(OR(L7=0,L7="NA")," ",IF((((M7-L7)/L7)&gt;='Contract Adjudication Notes'!$D$11),"yes","no")),"")</f>
        <v/>
      </c>
      <c r="Q7" s="20"/>
      <c r="R7" s="20"/>
      <c r="S7" s="20"/>
      <c r="T7" s="20"/>
      <c r="U7" s="7">
        <f>IF($F7='Contract Adjudication Notes'!$D$9,IF($D7='Contract Adjudication Notes'!$D$6,"Start up",IFERROR(VLOOKUP($B7&amp;'Contract Adjudication Notes'!$D$10,$A$2:$Y$35,22,FALSE),"NA")),"")</f>
        <v>89.4</v>
      </c>
      <c r="V7" s="14">
        <v>88.74</v>
      </c>
      <c r="W7" s="7">
        <v>75</v>
      </c>
      <c r="X7" s="7" t="str">
        <f>IF((V7&gt;=W7),"yes",IF(V7&gt;=(W7*0.9),"within 10%","no"))</f>
        <v>yes</v>
      </c>
      <c r="Y7" s="7" t="str">
        <f>IF(AND($F7='Contract Adjudication Notes'!$D$9, NOT($D7='Contract Adjudication Notes'!$D$6), OR(X7="no",X7="within 10%")), IF(OR(U7=0,U7="NA")," ",IF((((V7-U7)/U7)&gt;='Contract Adjudication Notes'!$D$11),"yes","no")),"")</f>
        <v/>
      </c>
      <c r="Z7" s="24" t="str">
        <f>IF(($F7='Contract Adjudication Notes'!$D$9),IF((COUNTIF(J7:Y7,"yes")&gt;=2),"yes","no"),"")</f>
        <v>yes</v>
      </c>
    </row>
    <row r="8" spans="1:26" ht="21" customHeight="1" x14ac:dyDescent="0.25">
      <c r="A8" s="8" t="str">
        <f>_xlfn.CONCAT(B8,F8)</f>
        <v>East Bay Community Action Program2017</v>
      </c>
      <c r="B8" s="19" t="s">
        <v>102</v>
      </c>
      <c r="C8" s="15" t="s">
        <v>29</v>
      </c>
      <c r="D8" s="40">
        <v>1</v>
      </c>
      <c r="E8" s="15" t="s">
        <v>27</v>
      </c>
      <c r="F8" s="40">
        <v>2017</v>
      </c>
      <c r="G8" s="7" t="str">
        <f>IF($F8='Contract Adjudication Notes'!$D$9,IF($D8='Contract Adjudication Notes'!$D$6,"Start up",IFERROR(VLOOKUP($B8&amp;'Contract Adjudication Notes'!$D$10,$A$2:$Y$35,8,FALSE),"NA")),"")</f>
        <v/>
      </c>
      <c r="H8" s="14">
        <v>83.3</v>
      </c>
      <c r="I8" s="7">
        <v>79</v>
      </c>
      <c r="J8" s="7" t="str">
        <f>IF((H8&gt;=I8),"yes",IF(H8&gt;=(I8*0.9),"within 10%","no"))</f>
        <v>yes</v>
      </c>
      <c r="K8" s="7" t="str">
        <f>IF(AND($F8='Contract Adjudication Notes'!$D$9, NOT($D8='Contract Adjudication Notes'!$D$6), OR(J8="no",J8="within 10%")), IF(OR(G8=0,G8="NA")," ",IF((((H8-G8)/G8)&gt;='Contract Adjudication Notes'!$D$11),"yes","no")),"")</f>
        <v/>
      </c>
      <c r="L8" s="7" t="str">
        <f>IF($F8='Contract Adjudication Notes'!$D$9,IF($D8='Contract Adjudication Notes'!$D$6,"Start up",IFERROR(VLOOKUP($B8&amp;'Contract Adjudication Notes'!$D$10,$A$2:$Y$35,13,FALSE),"NA")),"")</f>
        <v/>
      </c>
      <c r="M8" s="14">
        <v>90.7</v>
      </c>
      <c r="N8" s="7">
        <v>90</v>
      </c>
      <c r="O8" s="7" t="str">
        <f>IF((M8&gt;=N8),"yes",IF(M8&gt;=(N8*0.9),"within 10%","no"))</f>
        <v>yes</v>
      </c>
      <c r="P8" s="7" t="str">
        <f>IF(AND($F8='Contract Adjudication Notes'!$D$9, NOT($D8='Contract Adjudication Notes'!$D$6), OR(O8="no",O8="within 10%")), IF(OR(L8=0,L8="NA")," ",IF((((M8-L8)/L8)&gt;='Contract Adjudication Notes'!$D$11),"yes","no")),"")</f>
        <v/>
      </c>
      <c r="Q8" s="20"/>
      <c r="R8" s="20"/>
      <c r="S8" s="20"/>
      <c r="T8" s="20"/>
      <c r="U8" s="7" t="str">
        <f>IF($F8='Contract Adjudication Notes'!$D$9,IF($D8='Contract Adjudication Notes'!$D$6,"Start up",IFERROR(VLOOKUP($B8&amp;'Contract Adjudication Notes'!$D$10,$A$2:$Y$35,22,FALSE),"NA")),"")</f>
        <v/>
      </c>
      <c r="V8" s="14">
        <v>73.5</v>
      </c>
      <c r="W8" s="7">
        <v>75</v>
      </c>
      <c r="X8" s="7" t="str">
        <f>IF((V8&gt;=W8),"yes",IF(V8&gt;=(W8*0.9),"within 10%","no"))</f>
        <v>within 10%</v>
      </c>
      <c r="Y8" s="7" t="str">
        <f>IF(AND($F8='Contract Adjudication Notes'!$D$9, NOT($D8='Contract Adjudication Notes'!$D$6), OR(X8="no",X8="within 10%")), IF(OR(U8=0,U8="NA")," ",IF((((V8-U8)/U8)&gt;='Contract Adjudication Notes'!$D$11),"yes","no")),"")</f>
        <v/>
      </c>
      <c r="Z8" s="24" t="str">
        <f>IF(($F8='Contract Adjudication Notes'!$D$9),IF((COUNTIF(J8:Y8,"yes")&gt;=2),"yes","no"),"")</f>
        <v/>
      </c>
    </row>
    <row r="9" spans="1:26" ht="20.25" customHeight="1" x14ac:dyDescent="0.25">
      <c r="A9" s="8" t="str">
        <f>_xlfn.CONCAT(B9,F9)</f>
        <v>East Bay Community Action Program2018</v>
      </c>
      <c r="B9" s="19" t="s">
        <v>102</v>
      </c>
      <c r="C9" s="15" t="s">
        <v>29</v>
      </c>
      <c r="D9" s="40">
        <v>1</v>
      </c>
      <c r="E9" s="15" t="s">
        <v>27</v>
      </c>
      <c r="F9" s="40">
        <v>2018</v>
      </c>
      <c r="G9" s="7">
        <f>IF($F9='Contract Adjudication Notes'!$D$9,IF($D9='Contract Adjudication Notes'!$D$6,"Start up",IFERROR(VLOOKUP($B9&amp;'Contract Adjudication Notes'!$D$10,$A$2:$Y$35,8,FALSE),"NA")),"")</f>
        <v>83.3</v>
      </c>
      <c r="H9" s="14">
        <v>61.29</v>
      </c>
      <c r="I9" s="7">
        <v>79</v>
      </c>
      <c r="J9" s="7" t="str">
        <f>IF((H9&gt;=I9),"yes",IF(H9&gt;=(I9*0.9),"within 10%","no"))</f>
        <v>no</v>
      </c>
      <c r="K9" s="7" t="str">
        <f>IF(AND($F9='Contract Adjudication Notes'!$D$9, NOT($D9='Contract Adjudication Notes'!$D$6), OR(J9="no",J9="within 10%")), IF(OR(G9=0,G9="NA")," ",IF((((H9-G9)/G9)&gt;='Contract Adjudication Notes'!$D$11),"yes","no")),"")</f>
        <v>no</v>
      </c>
      <c r="L9" s="7">
        <f>IF($F9='Contract Adjudication Notes'!$D$9,IF($D9='Contract Adjudication Notes'!$D$6,"Start up",IFERROR(VLOOKUP($B9&amp;'Contract Adjudication Notes'!$D$10,$A$2:$Y$35,13,FALSE),"NA")),"")</f>
        <v>90.7</v>
      </c>
      <c r="M9" s="14">
        <v>85.62</v>
      </c>
      <c r="N9" s="7">
        <v>90</v>
      </c>
      <c r="O9" s="7" t="str">
        <f>IF((M9&gt;=N9),"yes",IF(M9&gt;=(N9*0.9),"within 10%","no"))</f>
        <v>within 10%</v>
      </c>
      <c r="P9" s="7" t="str">
        <f>IF(AND($F9='Contract Adjudication Notes'!$D$9, NOT($D9='Contract Adjudication Notes'!$D$6), OR(O9="no",O9="within 10%")), IF(OR(L9=0,L9="NA")," ",IF((((M9-L9)/L9)&gt;='Contract Adjudication Notes'!$D$11),"yes","no")),"")</f>
        <v>no</v>
      </c>
      <c r="Q9" s="20"/>
      <c r="R9" s="20"/>
      <c r="S9" s="20"/>
      <c r="T9" s="20"/>
      <c r="U9" s="7">
        <f>IF($F9='Contract Adjudication Notes'!$D$9,IF($D9='Contract Adjudication Notes'!$D$6,"Start up",IFERROR(VLOOKUP($B9&amp;'Contract Adjudication Notes'!$D$10,$A$2:$Y$35,22,FALSE),"NA")),"")</f>
        <v>73.5</v>
      </c>
      <c r="V9" s="14">
        <v>67.650000000000006</v>
      </c>
      <c r="W9" s="7">
        <v>75</v>
      </c>
      <c r="X9" s="7" t="str">
        <f>IF((V9&gt;=W9),"yes",IF(V9&gt;=(W9*0.9),"within 10%","no"))</f>
        <v>within 10%</v>
      </c>
      <c r="Y9" s="7" t="str">
        <f>IF(AND($F9='Contract Adjudication Notes'!$D$9, NOT($D9='Contract Adjudication Notes'!$D$6), OR(X9="no",X9="within 10%")), IF(OR(U9=0,U9="NA")," ",IF((((V9-U9)/U9)&gt;='Contract Adjudication Notes'!$D$11),"yes","no")),"")</f>
        <v>no</v>
      </c>
      <c r="Z9" s="24" t="str">
        <f>IF(($F9='Contract Adjudication Notes'!$D$9),IF((COUNTIF(J9:Y9,"yes")&gt;=2),"yes","no"),"")</f>
        <v>no</v>
      </c>
    </row>
    <row r="10" spans="1:26" ht="19.5" customHeight="1" x14ac:dyDescent="0.25">
      <c r="A10" s="8" t="str">
        <f>_xlfn.CONCAT(B10,F10)</f>
        <v>East Greenwich Pediatrics2017</v>
      </c>
      <c r="B10" s="19" t="s">
        <v>106</v>
      </c>
      <c r="C10" s="15" t="s">
        <v>20</v>
      </c>
      <c r="D10" s="40">
        <v>1</v>
      </c>
      <c r="E10" s="15" t="s">
        <v>18</v>
      </c>
      <c r="F10" s="40">
        <v>2017</v>
      </c>
      <c r="G10" s="7" t="str">
        <f>IF($F10='Contract Adjudication Notes'!$D$9,IF($D10='Contract Adjudication Notes'!$D$6,"Start up",IFERROR(VLOOKUP($B10&amp;'Contract Adjudication Notes'!$D$10,$A$2:$Y$35,8,FALSE),"NA")),"")</f>
        <v/>
      </c>
      <c r="H10" s="14">
        <v>88.7</v>
      </c>
      <c r="I10" s="7">
        <v>79</v>
      </c>
      <c r="J10" s="7" t="str">
        <f>IF((H10&gt;=I10),"yes",IF(H10&gt;=(I10*0.9),"within 10%","no"))</f>
        <v>yes</v>
      </c>
      <c r="K10" s="7" t="str">
        <f>IF(AND($F10='Contract Adjudication Notes'!$D$9, NOT($D10='Contract Adjudication Notes'!$D$6), OR(J10="no",J10="within 10%")), IF(OR(G10=0,G10="NA")," ",IF((((H10-G10)/G10)&gt;='Contract Adjudication Notes'!$D$11),"yes","no")),"")</f>
        <v/>
      </c>
      <c r="L10" s="7" t="str">
        <f>IF($F10='Contract Adjudication Notes'!$D$9,IF($D10='Contract Adjudication Notes'!$D$6,"Start up",IFERROR(VLOOKUP($B10&amp;'Contract Adjudication Notes'!$D$10,$A$2:$Y$35,13,FALSE),"NA")),"")</f>
        <v/>
      </c>
      <c r="M10" s="14">
        <v>94.2</v>
      </c>
      <c r="N10" s="7">
        <v>90</v>
      </c>
      <c r="O10" s="7" t="str">
        <f>IF((M10&gt;=N10),"yes",IF(M10&gt;=(N10*0.9),"within 10%","no"))</f>
        <v>yes</v>
      </c>
      <c r="P10" s="7" t="str">
        <f>IF(AND($F10='Contract Adjudication Notes'!$D$9, NOT($D10='Contract Adjudication Notes'!$D$6), OR(O10="no",O10="within 10%")), IF(OR(L10=0,L10="NA")," ",IF((((M10-L10)/L10)&gt;='Contract Adjudication Notes'!$D$11),"yes","no")),"")</f>
        <v/>
      </c>
      <c r="Q10" s="20"/>
      <c r="R10" s="20"/>
      <c r="S10" s="20"/>
      <c r="T10" s="20"/>
      <c r="U10" s="7" t="str">
        <f>IF($F10='Contract Adjudication Notes'!$D$9,IF($D10='Contract Adjudication Notes'!$D$6,"Start up",IFERROR(VLOOKUP($B10&amp;'Contract Adjudication Notes'!$D$10,$A$2:$Y$35,22,FALSE),"NA")),"")</f>
        <v/>
      </c>
      <c r="V10" s="14">
        <v>85.3</v>
      </c>
      <c r="W10" s="7">
        <v>75</v>
      </c>
      <c r="X10" s="7" t="str">
        <f>IF((V10&gt;=W10),"yes",IF(V10&gt;=(W10*0.9),"within 10%","no"))</f>
        <v>yes</v>
      </c>
      <c r="Y10" s="7" t="str">
        <f>IF(AND($F10='Contract Adjudication Notes'!$D$9, NOT($D10='Contract Adjudication Notes'!$D$6), OR(X10="no",X10="within 10%")), IF(OR(U10=0,U10="NA")," ",IF((((V10-U10)/U10)&gt;='Contract Adjudication Notes'!$D$11),"yes","no")),"")</f>
        <v/>
      </c>
      <c r="Z10" s="24" t="str">
        <f>IF(($F10='Contract Adjudication Notes'!$D$9),IF((COUNTIF(J10:Y10,"yes")&gt;=2),"yes","no"),"")</f>
        <v/>
      </c>
    </row>
    <row r="11" spans="1:26" ht="19.5" customHeight="1" x14ac:dyDescent="0.25">
      <c r="A11" s="8" t="str">
        <f>_xlfn.CONCAT(B11,F11)</f>
        <v>East Greenwich Pediatrics2018</v>
      </c>
      <c r="B11" s="19" t="s">
        <v>106</v>
      </c>
      <c r="C11" s="15" t="s">
        <v>20</v>
      </c>
      <c r="D11" s="40">
        <v>1</v>
      </c>
      <c r="E11" s="15" t="s">
        <v>18</v>
      </c>
      <c r="F11" s="40">
        <v>2018</v>
      </c>
      <c r="G11" s="7">
        <f>IF($F11='Contract Adjudication Notes'!$D$9,IF($D11='Contract Adjudication Notes'!$D$6,"Start up",IFERROR(VLOOKUP($B11&amp;'Contract Adjudication Notes'!$D$10,$A$2:$Y$35,8,FALSE),"NA")),"")</f>
        <v>88.7</v>
      </c>
      <c r="H11" s="14">
        <v>92.5</v>
      </c>
      <c r="I11" s="7">
        <v>79</v>
      </c>
      <c r="J11" s="7" t="str">
        <f>IF((H11&gt;=I11),"yes",IF(H11&gt;=(I11*0.9),"within 10%","no"))</f>
        <v>yes</v>
      </c>
      <c r="K11" s="7" t="str">
        <f>IF(AND($F11='Contract Adjudication Notes'!$D$9, NOT($D11='Contract Adjudication Notes'!$D$6), OR(J11="no",J11="within 10%")), IF(OR(G11=0,G11="NA")," ",IF((((H11-G11)/G11)&gt;='Contract Adjudication Notes'!$D$11),"yes","no")),"")</f>
        <v/>
      </c>
      <c r="L11" s="7">
        <f>IF($F11='Contract Adjudication Notes'!$D$9,IF($D11='Contract Adjudication Notes'!$D$6,"Start up",IFERROR(VLOOKUP($B11&amp;'Contract Adjudication Notes'!$D$10,$A$2:$Y$35,13,FALSE),"NA")),"")</f>
        <v>94.2</v>
      </c>
      <c r="M11" s="14">
        <v>95.14</v>
      </c>
      <c r="N11" s="7">
        <v>90</v>
      </c>
      <c r="O11" s="7" t="str">
        <f>IF((M11&gt;=N11),"yes",IF(M11&gt;=(N11*0.9),"within 10%","no"))</f>
        <v>yes</v>
      </c>
      <c r="P11" s="7" t="str">
        <f>IF(AND($F11='Contract Adjudication Notes'!$D$9, NOT($D11='Contract Adjudication Notes'!$D$6), OR(O11="no",O11="within 10%")), IF(OR(L11=0,L11="NA")," ",IF((((M11-L11)/L11)&gt;='Contract Adjudication Notes'!$D$11),"yes","no")),"")</f>
        <v/>
      </c>
      <c r="Q11" s="20"/>
      <c r="R11" s="20"/>
      <c r="S11" s="20"/>
      <c r="T11" s="20"/>
      <c r="U11" s="7">
        <f>IF($F11='Contract Adjudication Notes'!$D$9,IF($D11='Contract Adjudication Notes'!$D$6,"Start up",IFERROR(VLOOKUP($B11&amp;'Contract Adjudication Notes'!$D$10,$A$2:$Y$35,22,FALSE),"NA")),"")</f>
        <v>85.3</v>
      </c>
      <c r="V11" s="14">
        <v>87.86</v>
      </c>
      <c r="W11" s="7">
        <v>75</v>
      </c>
      <c r="X11" s="7" t="str">
        <f>IF((V11&gt;=W11),"yes",IF(V11&gt;=(W11*0.9),"within 10%","no"))</f>
        <v>yes</v>
      </c>
      <c r="Y11" s="7" t="str">
        <f>IF(AND($F11='Contract Adjudication Notes'!$D$9, NOT($D11='Contract Adjudication Notes'!$D$6), OR(X11="no",X11="within 10%")), IF(OR(U11=0,U11="NA")," ",IF((((V11-U11)/U11)&gt;='Contract Adjudication Notes'!$D$11),"yes","no")),"")</f>
        <v/>
      </c>
      <c r="Z11" s="24" t="str">
        <f>IF(($F11='Contract Adjudication Notes'!$D$9),IF((COUNTIF(J11:Y11,"yes")&gt;=2),"yes","no"),"")</f>
        <v>yes</v>
      </c>
    </row>
    <row r="12" spans="1:26" ht="32.25" customHeight="1" x14ac:dyDescent="0.25">
      <c r="A12" s="8" t="str">
        <f>_xlfn.CONCAT(B12,F12)</f>
        <v>Hasbro Medicine-Pediatric Primary Care Center2017</v>
      </c>
      <c r="B12" s="19" t="s">
        <v>107</v>
      </c>
      <c r="C12" s="15" t="s">
        <v>29</v>
      </c>
      <c r="D12" s="60">
        <v>1</v>
      </c>
      <c r="E12" s="15" t="s">
        <v>18</v>
      </c>
      <c r="F12" s="40">
        <v>2017</v>
      </c>
      <c r="G12" s="7" t="str">
        <f>IF($F12='Contract Adjudication Notes'!$D$9,IF($D12='Contract Adjudication Notes'!$D$6,"Start up",IFERROR(VLOOKUP($B12&amp;'Contract Adjudication Notes'!$D$10,$A$2:$Y$35,8,FALSE),"NA")),"")</f>
        <v/>
      </c>
      <c r="H12" s="14">
        <v>71.400000000000006</v>
      </c>
      <c r="I12" s="7">
        <v>79</v>
      </c>
      <c r="J12" s="7" t="str">
        <f>IF((H12&gt;=I12),"yes",IF(H12&gt;=(I12*0.9),"within 10%","no"))</f>
        <v>within 10%</v>
      </c>
      <c r="K12" s="7" t="str">
        <f>IF(AND($F12='Contract Adjudication Notes'!$D$9, NOT($D12='Contract Adjudication Notes'!$D$6), OR(J12="no",J12="within 10%")), IF(OR(G12=0,G12="NA")," ",IF((((H12-G12)/G12)&gt;='Contract Adjudication Notes'!$D$11),"yes","no")),"")</f>
        <v/>
      </c>
      <c r="L12" s="7" t="str">
        <f>IF($F12='Contract Adjudication Notes'!$D$9,IF($D12='Contract Adjudication Notes'!$D$6,"Start up",IFERROR(VLOOKUP($B12&amp;'Contract Adjudication Notes'!$D$10,$A$2:$Y$35,13,FALSE),"NA")),"")</f>
        <v/>
      </c>
      <c r="M12" s="14">
        <v>86</v>
      </c>
      <c r="N12" s="7">
        <v>90</v>
      </c>
      <c r="O12" s="7" t="str">
        <f>IF((M12&gt;=N12),"yes",IF(M12&gt;=(N12*0.9),"within 10%","no"))</f>
        <v>within 10%</v>
      </c>
      <c r="P12" s="7" t="str">
        <f>IF(AND($F12='Contract Adjudication Notes'!$D$9, NOT($D12='Contract Adjudication Notes'!$D$6), OR(O12="no",O12="within 10%")), IF(OR(L12=0,L12="NA")," ",IF((((M12-L12)/L12)&gt;='Contract Adjudication Notes'!$D$11),"yes","no")),"")</f>
        <v/>
      </c>
      <c r="Q12" s="20"/>
      <c r="R12" s="20"/>
      <c r="S12" s="20"/>
      <c r="T12" s="20"/>
      <c r="U12" s="7" t="str">
        <f>IF($F12='Contract Adjudication Notes'!$D$9,IF($D12='Contract Adjudication Notes'!$D$6,"Start up",IFERROR(VLOOKUP($B12&amp;'Contract Adjudication Notes'!$D$10,$A$2:$Y$35,22,FALSE),"NA")),"")</f>
        <v/>
      </c>
      <c r="V12" s="14">
        <v>75.900000000000006</v>
      </c>
      <c r="W12" s="7">
        <v>75</v>
      </c>
      <c r="X12" s="7" t="str">
        <f>IF((V12&gt;=W12),"yes",IF(V12&gt;=(W12*0.9),"within 10%","no"))</f>
        <v>yes</v>
      </c>
      <c r="Y12" s="7" t="str">
        <f>IF(AND($F12='Contract Adjudication Notes'!$D$9, NOT($D12='Contract Adjudication Notes'!$D$6), OR(X12="no",X12="within 10%")), IF(OR(U12=0,U12="NA")," ",IF((((V12-U12)/U12)&gt;='Contract Adjudication Notes'!$D$11),"yes","no")),"")</f>
        <v/>
      </c>
      <c r="Z12" s="24" t="str">
        <f>IF(($F12='Contract Adjudication Notes'!$D$9),IF((COUNTIF(J12:Y12,"yes")&gt;=2),"yes","no"),"")</f>
        <v/>
      </c>
    </row>
    <row r="13" spans="1:26" ht="33.75" customHeight="1" x14ac:dyDescent="0.25">
      <c r="A13" s="8" t="str">
        <f>_xlfn.CONCAT(B13,F13)</f>
        <v>Hasbro Medicine-Pediatric Primary Care Center2018</v>
      </c>
      <c r="B13" s="19" t="s">
        <v>107</v>
      </c>
      <c r="C13" s="15" t="s">
        <v>29</v>
      </c>
      <c r="D13" s="40">
        <v>1</v>
      </c>
      <c r="E13" s="15" t="s">
        <v>27</v>
      </c>
      <c r="F13" s="40">
        <v>2018</v>
      </c>
      <c r="G13" s="7">
        <f>IF($F13='Contract Adjudication Notes'!$D$9,IF($D13='Contract Adjudication Notes'!$D$6,"Start up",IFERROR(VLOOKUP($B13&amp;'Contract Adjudication Notes'!$D$10,$A$2:$Y$35,8,FALSE),"NA")),"")</f>
        <v>71.400000000000006</v>
      </c>
      <c r="H13" s="14">
        <v>64.61</v>
      </c>
      <c r="I13" s="7">
        <v>79</v>
      </c>
      <c r="J13" s="7" t="str">
        <f>IF((H13&gt;=I13),"yes",IF(H13&gt;=(I13*0.9),"within 10%","no"))</f>
        <v>no</v>
      </c>
      <c r="K13" s="7" t="str">
        <f>IF(AND($F13='Contract Adjudication Notes'!$D$9, NOT($D13='Contract Adjudication Notes'!$D$6), OR(J13="no",J13="within 10%")), IF(OR(G13=0,G13="NA")," ",IF((((H13-G13)/G13)&gt;='Contract Adjudication Notes'!$D$11),"yes","no")),"")</f>
        <v>no</v>
      </c>
      <c r="L13" s="7">
        <f>IF($F13='Contract Adjudication Notes'!$D$9,IF($D13='Contract Adjudication Notes'!$D$6,"Start up",IFERROR(VLOOKUP($B13&amp;'Contract Adjudication Notes'!$D$10,$A$2:$Y$35,13,FALSE),"NA")),"")</f>
        <v>86</v>
      </c>
      <c r="M13" s="14">
        <v>79.19</v>
      </c>
      <c r="N13" s="7">
        <v>90</v>
      </c>
      <c r="O13" s="7" t="str">
        <f>IF((M13&gt;=N13),"yes",IF(M13&gt;=(N13*0.9),"within 10%","no"))</f>
        <v>no</v>
      </c>
      <c r="P13" s="7" t="str">
        <f>IF(AND($F13='Contract Adjudication Notes'!$D$9, NOT($D13='Contract Adjudication Notes'!$D$6), OR(O13="no",O13="within 10%")), IF(OR(L13=0,L13="NA")," ",IF((((M13-L13)/L13)&gt;='Contract Adjudication Notes'!$D$11),"yes","no")),"")</f>
        <v>no</v>
      </c>
      <c r="Q13" s="20"/>
      <c r="R13" s="20"/>
      <c r="S13" s="20"/>
      <c r="T13" s="20"/>
      <c r="U13" s="7">
        <f>IF($F13='Contract Adjudication Notes'!$D$9,IF($D13='Contract Adjudication Notes'!$D$6,"Start up",IFERROR(VLOOKUP($B13&amp;'Contract Adjudication Notes'!$D$10,$A$2:$Y$35,22,FALSE),"NA")),"")</f>
        <v>75.900000000000006</v>
      </c>
      <c r="V13" s="14">
        <v>63.43</v>
      </c>
      <c r="W13" s="7">
        <v>75</v>
      </c>
      <c r="X13" s="7" t="str">
        <f>IF((V13&gt;=W13),"yes",IF(V13&gt;=(W13*0.9),"within 10%","no"))</f>
        <v>no</v>
      </c>
      <c r="Y13" s="7" t="str">
        <f>IF(AND($F13='Contract Adjudication Notes'!$D$9, NOT($D13='Contract Adjudication Notes'!$D$6), OR(X13="no",X13="within 10%")), IF(OR(U13=0,U13="NA")," ",IF((((V13-U13)/U13)&gt;='Contract Adjudication Notes'!$D$11),"yes","no")),"")</f>
        <v>no</v>
      </c>
      <c r="Z13" s="24" t="str">
        <f>IF(($F13='Contract Adjudication Notes'!$D$9),IF((COUNTIF(J13:Y13,"yes")&gt;=2),"yes","no"),"")</f>
        <v>no</v>
      </c>
    </row>
    <row r="14" spans="1:26" ht="19.5" customHeight="1" x14ac:dyDescent="0.25">
      <c r="A14" s="8" t="str">
        <f>_xlfn.CONCAT(B14,F14)</f>
        <v>Hasbro Pediatric Primary Care2017</v>
      </c>
      <c r="B14" s="19" t="s">
        <v>104</v>
      </c>
      <c r="C14" s="15" t="s">
        <v>29</v>
      </c>
      <c r="D14" s="40">
        <v>1</v>
      </c>
      <c r="E14" s="15" t="s">
        <v>18</v>
      </c>
      <c r="F14" s="40">
        <v>2017</v>
      </c>
      <c r="G14" s="7" t="str">
        <f>IF($F14='Contract Adjudication Notes'!$D$9,IF($D14='Contract Adjudication Notes'!$D$6,"Start up",IFERROR(VLOOKUP($B14&amp;'Contract Adjudication Notes'!$D$10,$A$2:$Y$35,8,FALSE),"NA")),"")</f>
        <v/>
      </c>
      <c r="H14" s="14">
        <v>73.099999999999994</v>
      </c>
      <c r="I14" s="7">
        <v>79</v>
      </c>
      <c r="J14" s="7" t="str">
        <f>IF((H14&gt;=I14),"yes",IF(H14&gt;=(I14*0.9),"within 10%","no"))</f>
        <v>within 10%</v>
      </c>
      <c r="K14" s="7" t="str">
        <f>IF(AND($F14='Contract Adjudication Notes'!$D$9, NOT($D14='Contract Adjudication Notes'!$D$6), OR(J14="no",J14="within 10%")), IF(OR(G14=0,G14="NA")," ",IF((((H14-G14)/G14)&gt;='Contract Adjudication Notes'!$D$11),"yes","no")),"")</f>
        <v/>
      </c>
      <c r="L14" s="7" t="str">
        <f>IF($F14='Contract Adjudication Notes'!$D$9,IF($D14='Contract Adjudication Notes'!$D$6,"Start up",IFERROR(VLOOKUP($B14&amp;'Contract Adjudication Notes'!$D$10,$A$2:$Y$35,13,FALSE),"NA")),"")</f>
        <v/>
      </c>
      <c r="M14" s="14">
        <v>86.8</v>
      </c>
      <c r="N14" s="7">
        <v>90</v>
      </c>
      <c r="O14" s="7" t="str">
        <f>IF((M14&gt;=N14),"yes",IF(M14&gt;=(N14*0.9),"within 10%","no"))</f>
        <v>within 10%</v>
      </c>
      <c r="P14" s="7" t="str">
        <f>IF(AND($F14='Contract Adjudication Notes'!$D$9, NOT($D14='Contract Adjudication Notes'!$D$6), OR(O14="no",O14="within 10%")), IF(OR(L14=0,L14="NA")," ",IF((((M14-L14)/L14)&gt;='Contract Adjudication Notes'!$D$11),"yes","no")),"")</f>
        <v/>
      </c>
      <c r="Q14" s="20"/>
      <c r="R14" s="20"/>
      <c r="S14" s="20"/>
      <c r="T14" s="20"/>
      <c r="U14" s="7" t="str">
        <f>IF($F14='Contract Adjudication Notes'!$D$9,IF($D14='Contract Adjudication Notes'!$D$6,"Start up",IFERROR(VLOOKUP($B14&amp;'Contract Adjudication Notes'!$D$10,$A$2:$Y$35,22,FALSE),"NA")),"")</f>
        <v/>
      </c>
      <c r="V14" s="14">
        <v>65.3</v>
      </c>
      <c r="W14" s="7">
        <v>75</v>
      </c>
      <c r="X14" s="7" t="str">
        <f>IF((V14&gt;=W14),"yes",IF(V14&gt;=(W14*0.9),"within 10%","no"))</f>
        <v>no</v>
      </c>
      <c r="Y14" s="7" t="str">
        <f>IF(AND($F14='Contract Adjudication Notes'!$D$9, NOT($D14='Contract Adjudication Notes'!$D$6), OR(X14="no",X14="within 10%")), IF(OR(U14=0,U14="NA")," ",IF((((V14-U14)/U14)&gt;='Contract Adjudication Notes'!$D$11),"yes","no")),"")</f>
        <v/>
      </c>
      <c r="Z14" s="24" t="str">
        <f>IF(($F14='Contract Adjudication Notes'!$D$9),IF((COUNTIF(J14:Y14,"yes")&gt;=2),"yes","no"),"")</f>
        <v/>
      </c>
    </row>
    <row r="15" spans="1:26" ht="21.75" customHeight="1" x14ac:dyDescent="0.25">
      <c r="A15" s="8" t="str">
        <f>_xlfn.CONCAT(B15,F15)</f>
        <v>Hasbro Pediatric Primary Care2018</v>
      </c>
      <c r="B15" s="19" t="s">
        <v>104</v>
      </c>
      <c r="C15" s="15" t="s">
        <v>29</v>
      </c>
      <c r="D15" s="40">
        <v>1</v>
      </c>
      <c r="E15" s="15" t="s">
        <v>18</v>
      </c>
      <c r="F15" s="40">
        <v>2018</v>
      </c>
      <c r="G15" s="7">
        <f>IF($F15='Contract Adjudication Notes'!$D$9,IF($D15='Contract Adjudication Notes'!$D$6,"Start up",IFERROR(VLOOKUP($B15&amp;'Contract Adjudication Notes'!$D$10,$A$2:$Y$35,8,FALSE),"NA")),"")</f>
        <v>73.099999999999994</v>
      </c>
      <c r="H15" s="14">
        <v>73.8</v>
      </c>
      <c r="I15" s="7">
        <v>79</v>
      </c>
      <c r="J15" s="7" t="str">
        <f>IF((H15&gt;=I15),"yes",IF(H15&gt;=(I15*0.9),"within 10%","no"))</f>
        <v>within 10%</v>
      </c>
      <c r="K15" s="7" t="str">
        <f>IF(AND($F15='Contract Adjudication Notes'!$D$9, NOT($D15='Contract Adjudication Notes'!$D$6), OR(J15="no",J15="within 10%")), IF(OR(G15=0,G15="NA")," ",IF((((H15-G15)/G15)&gt;='Contract Adjudication Notes'!$D$11),"yes","no")),"")</f>
        <v>no</v>
      </c>
      <c r="L15" s="7">
        <f>IF($F15='Contract Adjudication Notes'!$D$9,IF($D15='Contract Adjudication Notes'!$D$6,"Start up",IFERROR(VLOOKUP($B15&amp;'Contract Adjudication Notes'!$D$10,$A$2:$Y$35,13,FALSE),"NA")),"")</f>
        <v>86.8</v>
      </c>
      <c r="M15" s="14">
        <v>84.9</v>
      </c>
      <c r="N15" s="7">
        <v>90</v>
      </c>
      <c r="O15" s="7" t="str">
        <f>IF((M15&gt;=N15),"yes",IF(M15&gt;=(N15*0.9),"within 10%","no"))</f>
        <v>within 10%</v>
      </c>
      <c r="P15" s="7" t="str">
        <f>IF(AND($F15='Contract Adjudication Notes'!$D$9, NOT($D15='Contract Adjudication Notes'!$D$6), OR(O15="no",O15="within 10%")), IF(OR(L15=0,L15="NA")," ",IF((((M15-L15)/L15)&gt;='Contract Adjudication Notes'!$D$11),"yes","no")),"")</f>
        <v>no</v>
      </c>
      <c r="Q15" s="20"/>
      <c r="R15" s="20"/>
      <c r="S15" s="20"/>
      <c r="T15" s="20"/>
      <c r="U15" s="7">
        <f>IF($F15='Contract Adjudication Notes'!$D$9,IF($D15='Contract Adjudication Notes'!$D$6,"Start up",IFERROR(VLOOKUP($B15&amp;'Contract Adjudication Notes'!$D$10,$A$2:$Y$35,22,FALSE),"NA")),"")</f>
        <v>65.3</v>
      </c>
      <c r="V15" s="14">
        <v>73.900000000000006</v>
      </c>
      <c r="W15" s="7">
        <v>75</v>
      </c>
      <c r="X15" s="7" t="str">
        <f>IF((V15&gt;=W15),"yes",IF(V15&gt;=(W15*0.9),"within 10%","no"))</f>
        <v>within 10%</v>
      </c>
      <c r="Y15" s="7" t="str">
        <f>IF(AND($F15='Contract Adjudication Notes'!$D$9, NOT($D15='Contract Adjudication Notes'!$D$6), OR(X15="no",X15="within 10%")), IF(OR(U15=0,U15="NA")," ",IF((((V15-U15)/U15)&gt;='Contract Adjudication Notes'!$D$11),"yes","no")),"")</f>
        <v>yes</v>
      </c>
      <c r="Z15" s="24" t="str">
        <f>IF(($F15='Contract Adjudication Notes'!$D$9),IF((COUNTIF(J15:Y15,"yes")&gt;=2),"yes","no"),"")</f>
        <v>no</v>
      </c>
    </row>
    <row r="16" spans="1:26" ht="18.75" customHeight="1" x14ac:dyDescent="0.25">
      <c r="A16" s="8" t="str">
        <f>_xlfn.CONCAT(B16,F16)</f>
        <v>Pediatric Associates, Inc2017</v>
      </c>
      <c r="B16" s="19" t="s">
        <v>108</v>
      </c>
      <c r="C16" s="15" t="s">
        <v>20</v>
      </c>
      <c r="D16" s="40">
        <v>1</v>
      </c>
      <c r="E16" s="15" t="s">
        <v>27</v>
      </c>
      <c r="F16" s="40">
        <v>2017</v>
      </c>
      <c r="G16" s="7" t="str">
        <f>IF($F16='Contract Adjudication Notes'!$D$9,IF($D16='Contract Adjudication Notes'!$D$6,"Start up",IFERROR(VLOOKUP($B16&amp;'Contract Adjudication Notes'!$D$10,$A$2:$Y$35,8,FALSE),"NA")),"")</f>
        <v/>
      </c>
      <c r="H16" s="14">
        <v>91.8</v>
      </c>
      <c r="I16" s="7">
        <v>79</v>
      </c>
      <c r="J16" s="7" t="str">
        <f>IF((H16&gt;=I16),"yes",IF(H16&gt;=(I16*0.9),"within 10%","no"))</f>
        <v>yes</v>
      </c>
      <c r="K16" s="7" t="str">
        <f>IF(AND($F16='Contract Adjudication Notes'!$D$9, NOT($D16='Contract Adjudication Notes'!$D$6), OR(J16="no",J16="within 10%")), IF(OR(G16=0,G16="NA")," ",IF((((H16-G16)/G16)&gt;='Contract Adjudication Notes'!$D$11),"yes","no")),"")</f>
        <v/>
      </c>
      <c r="L16" s="7" t="str">
        <f>IF($F16='Contract Adjudication Notes'!$D$9,IF($D16='Contract Adjudication Notes'!$D$6,"Start up",IFERROR(VLOOKUP($B16&amp;'Contract Adjudication Notes'!$D$10,$A$2:$Y$35,13,FALSE),"NA")),"")</f>
        <v/>
      </c>
      <c r="M16" s="14">
        <v>96.7</v>
      </c>
      <c r="N16" s="7">
        <v>90</v>
      </c>
      <c r="O16" s="7" t="str">
        <f>IF((M16&gt;=N16),"yes",IF(M16&gt;=(N16*0.9),"within 10%","no"))</f>
        <v>yes</v>
      </c>
      <c r="P16" s="7" t="str">
        <f>IF(AND($F16='Contract Adjudication Notes'!$D$9, NOT($D16='Contract Adjudication Notes'!$D$6), OR(O16="no",O16="within 10%")), IF(OR(L16=0,L16="NA")," ",IF((((M16-L16)/L16)&gt;='Contract Adjudication Notes'!$D$11),"yes","no")),"")</f>
        <v/>
      </c>
      <c r="Q16" s="20"/>
      <c r="R16" s="20"/>
      <c r="S16" s="20"/>
      <c r="T16" s="20"/>
      <c r="U16" s="7" t="str">
        <f>IF($F16='Contract Adjudication Notes'!$D$9,IF($D16='Contract Adjudication Notes'!$D$6,"Start up",IFERROR(VLOOKUP($B16&amp;'Contract Adjudication Notes'!$D$10,$A$2:$Y$35,22,FALSE),"NA")),"")</f>
        <v/>
      </c>
      <c r="V16" s="14">
        <v>85.2</v>
      </c>
      <c r="W16" s="7">
        <v>75</v>
      </c>
      <c r="X16" s="7" t="str">
        <f>IF((V16&gt;=W16),"yes",IF(V16&gt;=(W16*0.9),"within 10%","no"))</f>
        <v>yes</v>
      </c>
      <c r="Y16" s="7" t="str">
        <f>IF(AND($F16='Contract Adjudication Notes'!$D$9, NOT($D16='Contract Adjudication Notes'!$D$6), OR(X16="no",X16="within 10%")), IF(OR(U16=0,U16="NA")," ",IF((((V16-U16)/U16)&gt;='Contract Adjudication Notes'!$D$11),"yes","no")),"")</f>
        <v/>
      </c>
      <c r="Z16" s="24" t="str">
        <f>IF(($F16='Contract Adjudication Notes'!$D$9),IF((COUNTIF(J16:Y16,"yes")&gt;=2),"yes","no"),"")</f>
        <v/>
      </c>
    </row>
    <row r="17" spans="1:26" ht="20.25" customHeight="1" x14ac:dyDescent="0.25">
      <c r="A17" s="8" t="str">
        <f>_xlfn.CONCAT(B17,F17)</f>
        <v>Pediatric Associates, Inc2018</v>
      </c>
      <c r="B17" s="19" t="s">
        <v>108</v>
      </c>
      <c r="C17" s="15" t="s">
        <v>20</v>
      </c>
      <c r="D17" s="40">
        <v>1</v>
      </c>
      <c r="E17" s="15" t="s">
        <v>27</v>
      </c>
      <c r="F17" s="40">
        <v>2018</v>
      </c>
      <c r="G17" s="7">
        <f>IF($F17='Contract Adjudication Notes'!$D$9,IF($D17='Contract Adjudication Notes'!$D$6,"Start up",IFERROR(VLOOKUP($B17&amp;'Contract Adjudication Notes'!$D$10,$A$2:$Y$35,8,FALSE),"NA")),"")</f>
        <v>91.8</v>
      </c>
      <c r="H17" s="14">
        <v>90.25</v>
      </c>
      <c r="I17" s="7">
        <v>79</v>
      </c>
      <c r="J17" s="7" t="str">
        <f>IF((H17&gt;=I17),"yes",IF(H17&gt;=(I17*0.9),"within 10%","no"))</f>
        <v>yes</v>
      </c>
      <c r="K17" s="7" t="str">
        <f>IF(AND($F17='Contract Adjudication Notes'!$D$9, NOT($D17='Contract Adjudication Notes'!$D$6), OR(J17="no",J17="within 10%")), IF(OR(G17=0,G17="NA")," ",IF((((H17-G17)/G17)&gt;='Contract Adjudication Notes'!$D$11),"yes","no")),"")</f>
        <v/>
      </c>
      <c r="L17" s="7">
        <f>IF($F17='Contract Adjudication Notes'!$D$9,IF($D17='Contract Adjudication Notes'!$D$6,"Start up",IFERROR(VLOOKUP($B17&amp;'Contract Adjudication Notes'!$D$10,$A$2:$Y$35,13,FALSE),"NA")),"")</f>
        <v>96.7</v>
      </c>
      <c r="M17" s="14">
        <v>95.22</v>
      </c>
      <c r="N17" s="7">
        <v>90</v>
      </c>
      <c r="O17" s="7" t="str">
        <f>IF((M17&gt;=N17),"yes",IF(M17&gt;=(N17*0.9),"within 10%","no"))</f>
        <v>yes</v>
      </c>
      <c r="P17" s="7" t="str">
        <f>IF(AND($F17='Contract Adjudication Notes'!$D$9, NOT($D17='Contract Adjudication Notes'!$D$6), OR(O17="no",O17="within 10%")), IF(OR(L17=0,L17="NA")," ",IF((((M17-L17)/L17)&gt;='Contract Adjudication Notes'!$D$11),"yes","no")),"")</f>
        <v/>
      </c>
      <c r="Q17" s="20"/>
      <c r="R17" s="20"/>
      <c r="S17" s="20"/>
      <c r="T17" s="20"/>
      <c r="U17" s="7">
        <f>IF($F17='Contract Adjudication Notes'!$D$9,IF($D17='Contract Adjudication Notes'!$D$6,"Start up",IFERROR(VLOOKUP($B17&amp;'Contract Adjudication Notes'!$D$10,$A$2:$Y$35,22,FALSE),"NA")),"")</f>
        <v>85.2</v>
      </c>
      <c r="V17" s="14">
        <v>76.11</v>
      </c>
      <c r="W17" s="7">
        <v>75</v>
      </c>
      <c r="X17" s="7" t="str">
        <f>IF((V17&gt;=W17),"yes",IF(V17&gt;=(W17*0.9),"within 10%","no"))</f>
        <v>yes</v>
      </c>
      <c r="Y17" s="7" t="str">
        <f>IF(AND($F17='Contract Adjudication Notes'!$D$9, NOT($D17='Contract Adjudication Notes'!$D$6), OR(X17="no",X17="within 10%")), IF(OR(U17=0,U17="NA")," ",IF((((V17-U17)/U17)&gt;='Contract Adjudication Notes'!$D$11),"yes","no")),"")</f>
        <v/>
      </c>
      <c r="Z17" s="24" t="str">
        <f>IF(($F17='Contract Adjudication Notes'!$D$9),IF((COUNTIF(J17:Y17,"yes")&gt;=2),"yes","no"),"")</f>
        <v>yes</v>
      </c>
    </row>
    <row r="18" spans="1:26" ht="21.75" customHeight="1" x14ac:dyDescent="0.25">
      <c r="A18" s="8" t="str">
        <f>_xlfn.CONCAT(B18,F18)</f>
        <v>Wood River Health2014</v>
      </c>
      <c r="B18" s="19" t="s">
        <v>109</v>
      </c>
      <c r="C18" s="15" t="s">
        <v>20</v>
      </c>
      <c r="D18" s="40">
        <v>1</v>
      </c>
      <c r="E18" s="15" t="s">
        <v>18</v>
      </c>
      <c r="F18" s="40">
        <v>2014</v>
      </c>
      <c r="G18" s="7" t="str">
        <f>IF($F18='Contract Adjudication Notes'!$D$9,IF($D18='Contract Adjudication Notes'!$D$6,"Start up",IFERROR(VLOOKUP($B18&amp;'Contract Adjudication Notes'!$D$10,$A$2:$Y$35,8,FALSE),"NA")),"")</f>
        <v/>
      </c>
      <c r="H18" s="14">
        <v>41.2</v>
      </c>
      <c r="I18" s="7">
        <v>79</v>
      </c>
      <c r="J18" s="7" t="str">
        <f>IF((H18&gt;=I18),"yes",IF(H18&gt;=(I18*0.9),"within 10%","no"))</f>
        <v>no</v>
      </c>
      <c r="K18" s="7" t="str">
        <f>IF(AND($F18='Contract Adjudication Notes'!$D$9, NOT($D18='Contract Adjudication Notes'!$D$6), OR(J18="no",J18="within 10%")), IF(OR(G18=0,G18="NA")," ",IF((((H18-G18)/G18)&gt;='Contract Adjudication Notes'!$D$11),"yes","no")),"")</f>
        <v/>
      </c>
      <c r="L18" s="7" t="str">
        <f>IF($F18='Contract Adjudication Notes'!$D$9,IF($D18='Contract Adjudication Notes'!$D$6,"Start up",IFERROR(VLOOKUP($B18&amp;'Contract Adjudication Notes'!$D$10,$A$2:$Y$35,13,FALSE),"NA")),"")</f>
        <v/>
      </c>
      <c r="M18" s="14">
        <v>75.7</v>
      </c>
      <c r="N18" s="7">
        <v>90</v>
      </c>
      <c r="O18" s="7" t="str">
        <f>IF((M18&gt;=N18),"yes",IF(M18&gt;=(N18*0.9),"within 10%","no"))</f>
        <v>no</v>
      </c>
      <c r="P18" s="7" t="str">
        <f>IF(AND($F18='Contract Adjudication Notes'!$D$9, NOT($D18='Contract Adjudication Notes'!$D$6), OR(O18="no",O18="within 10%")), IF(OR(L18=0,L18="NA")," ",IF((((M18-L18)/L18)&gt;='Contract Adjudication Notes'!$D$11),"yes","no")),"")</f>
        <v/>
      </c>
      <c r="Q18" s="20"/>
      <c r="R18" s="20"/>
      <c r="S18" s="20"/>
      <c r="T18" s="20"/>
      <c r="U18" s="7" t="str">
        <f>IF($F18='Contract Adjudication Notes'!$D$9,IF($D18='Contract Adjudication Notes'!$D$6,"Start up",IFERROR(VLOOKUP($B18&amp;'Contract Adjudication Notes'!$D$10,$A$2:$Y$35,22,FALSE),"NA")),"")</f>
        <v/>
      </c>
      <c r="V18" s="14">
        <v>66</v>
      </c>
      <c r="W18" s="7">
        <v>75</v>
      </c>
      <c r="X18" s="7" t="str">
        <f>IF((V18&gt;=W18),"yes",IF(V18&gt;=(W18*0.9),"within 10%","no"))</f>
        <v>no</v>
      </c>
      <c r="Y18" s="7" t="str">
        <f>IF(AND($F18='Contract Adjudication Notes'!$D$9, NOT($D18='Contract Adjudication Notes'!$D$6), OR(X18="no",X18="within 10%")), IF(OR(U18=0,U18="NA")," ",IF((((V18-U18)/U18)&gt;='Contract Adjudication Notes'!$D$11),"yes","no")),"")</f>
        <v/>
      </c>
      <c r="Z18" s="24" t="str">
        <f>IF(($F18='Contract Adjudication Notes'!$D$9),IF((COUNTIF(J18:Y18,"yes")&gt;=2),"yes","no"),"")</f>
        <v/>
      </c>
    </row>
    <row r="19" spans="1:26" ht="23.25" customHeight="1" x14ac:dyDescent="0.25">
      <c r="A19" s="8" t="str">
        <f>_xlfn.CONCAT(B19,F19)</f>
        <v>Wood River Health2015</v>
      </c>
      <c r="B19" s="19" t="s">
        <v>109</v>
      </c>
      <c r="C19" s="15" t="s">
        <v>29</v>
      </c>
      <c r="D19" s="40">
        <v>1</v>
      </c>
      <c r="E19" s="15" t="s">
        <v>27</v>
      </c>
      <c r="F19" s="40">
        <v>2015</v>
      </c>
      <c r="G19" s="7" t="str">
        <f>IF($F19='Contract Adjudication Notes'!$D$9,IF($D19='Contract Adjudication Notes'!$D$6,"Start up",IFERROR(VLOOKUP($B19&amp;'Contract Adjudication Notes'!$D$10,$A$2:$Y$35,8,FALSE),"NA")),"")</f>
        <v/>
      </c>
      <c r="H19" s="14">
        <v>58.8</v>
      </c>
      <c r="I19" s="7">
        <v>79</v>
      </c>
      <c r="J19" s="7" t="str">
        <f>IF((H19&gt;=I19),"yes",IF(H19&gt;=(I19*0.9),"within 10%","no"))</f>
        <v>no</v>
      </c>
      <c r="K19" s="7" t="str">
        <f>IF(AND($F19='Contract Adjudication Notes'!$D$9, NOT($D19='Contract Adjudication Notes'!$D$6), OR(J19="no",J19="within 10%")), IF(OR(G19=0,G19="NA")," ",IF((((H19-G19)/G19)&gt;='Contract Adjudication Notes'!$D$11),"yes","no")),"")</f>
        <v/>
      </c>
      <c r="L19" s="7" t="str">
        <f>IF($F19='Contract Adjudication Notes'!$D$9,IF($D19='Contract Adjudication Notes'!$D$6,"Start up",IFERROR(VLOOKUP($B19&amp;'Contract Adjudication Notes'!$D$10,$A$2:$Y$35,13,FALSE),"NA")),"")</f>
        <v/>
      </c>
      <c r="M19" s="14">
        <v>77.3</v>
      </c>
      <c r="N19" s="7">
        <v>90</v>
      </c>
      <c r="O19" s="7" t="str">
        <f>IF((M19&gt;=N19),"yes",IF(M19&gt;=(N19*0.9),"within 10%","no"))</f>
        <v>no</v>
      </c>
      <c r="P19" s="7" t="str">
        <f>IF(AND($F19='Contract Adjudication Notes'!$D$9, NOT($D19='Contract Adjudication Notes'!$D$6), OR(O19="no",O19="within 10%")), IF(OR(L19=0,L19="NA")," ",IF((((M19-L19)/L19)&gt;='Contract Adjudication Notes'!$D$11),"yes","no")),"")</f>
        <v/>
      </c>
      <c r="Q19" s="20"/>
      <c r="R19" s="20"/>
      <c r="S19" s="20"/>
      <c r="T19" s="20"/>
      <c r="U19" s="7" t="str">
        <f>IF($F19='Contract Adjudication Notes'!$D$9,IF($D19='Contract Adjudication Notes'!$D$6,"Start up",IFERROR(VLOOKUP($B19&amp;'Contract Adjudication Notes'!$D$10,$A$2:$Y$35,22,FALSE),"NA")),"")</f>
        <v/>
      </c>
      <c r="V19" s="14">
        <v>71.599999999999994</v>
      </c>
      <c r="W19" s="7">
        <v>75</v>
      </c>
      <c r="X19" s="7" t="str">
        <f>IF((V19&gt;=W19),"yes",IF(V19&gt;=(W19*0.9),"within 10%","no"))</f>
        <v>within 10%</v>
      </c>
      <c r="Y19" s="7" t="str">
        <f>IF(AND($F19='Contract Adjudication Notes'!$D$9, NOT($D19='Contract Adjudication Notes'!$D$6), OR(X19="no",X19="within 10%")), IF(OR(U19=0,U19="NA")," ",IF((((V19-U19)/U19)&gt;='Contract Adjudication Notes'!$D$11),"yes","no")),"")</f>
        <v/>
      </c>
      <c r="Z19" s="24" t="str">
        <f>IF(($F19='Contract Adjudication Notes'!$D$9),IF((COUNTIF(J19:Y19,"yes")&gt;=2),"yes","no"),"")</f>
        <v/>
      </c>
    </row>
    <row r="20" spans="1:26" ht="23.25" customHeight="1" x14ac:dyDescent="0.25">
      <c r="A20" s="8" t="str">
        <f>_xlfn.CONCAT(B20,F20)</f>
        <v>Wood River Health2016</v>
      </c>
      <c r="B20" s="19" t="s">
        <v>109</v>
      </c>
      <c r="C20" s="15" t="s">
        <v>20</v>
      </c>
      <c r="D20" s="40">
        <v>1</v>
      </c>
      <c r="E20" s="15" t="s">
        <v>33</v>
      </c>
      <c r="F20" s="40">
        <v>2016</v>
      </c>
      <c r="G20" s="7" t="str">
        <f>IF($F20='Contract Adjudication Notes'!$D$9,IF($D20='Contract Adjudication Notes'!$D$6,"Start up",IFERROR(VLOOKUP($B20&amp;'Contract Adjudication Notes'!$D$10,$A$2:$Y$35,8,FALSE),"NA")),"")</f>
        <v/>
      </c>
      <c r="H20" s="14">
        <v>60.7</v>
      </c>
      <c r="I20" s="7">
        <v>79</v>
      </c>
      <c r="J20" s="7" t="str">
        <f>IF((H20&gt;=I20),"yes",IF(H20&gt;=(I20*0.9),"within 10%","no"))</f>
        <v>no</v>
      </c>
      <c r="K20" s="7" t="str">
        <f>IF(AND($F20='Contract Adjudication Notes'!$D$9, NOT($D20='Contract Adjudication Notes'!$D$6), OR(J20="no",J20="within 10%")), IF(OR(G20=0,G20="NA")," ",IF((((H20-G20)/G20)&gt;='Contract Adjudication Notes'!$D$11),"yes","no")),"")</f>
        <v/>
      </c>
      <c r="L20" s="7" t="str">
        <f>IF($F20='Contract Adjudication Notes'!$D$9,IF($D20='Contract Adjudication Notes'!$D$6,"Start up",IFERROR(VLOOKUP($B20&amp;'Contract Adjudication Notes'!$D$10,$A$2:$Y$35,13,FALSE),"NA")),"")</f>
        <v/>
      </c>
      <c r="M20" s="14">
        <v>81</v>
      </c>
      <c r="N20" s="7">
        <v>90</v>
      </c>
      <c r="O20" s="7" t="str">
        <f>IF((M20&gt;=N20),"yes",IF(M20&gt;=(N20*0.9),"within 10%","no"))</f>
        <v>within 10%</v>
      </c>
      <c r="P20" s="7" t="str">
        <f>IF(AND($F20='Contract Adjudication Notes'!$D$9, NOT($D20='Contract Adjudication Notes'!$D$6), OR(O20="no",O20="within 10%")), IF(OR(L20=0,L20="NA")," ",IF((((M20-L20)/L20)&gt;='Contract Adjudication Notes'!$D$11),"yes","no")),"")</f>
        <v/>
      </c>
      <c r="Q20" s="14">
        <v>66.400000000000006</v>
      </c>
      <c r="R20" s="20"/>
      <c r="S20" s="14">
        <v>44.8</v>
      </c>
      <c r="T20" s="20"/>
      <c r="U20" s="7" t="str">
        <f>IF($F20='Contract Adjudication Notes'!$D$9,IF($D20='Contract Adjudication Notes'!$D$6,"Start up",IFERROR(VLOOKUP($B20&amp;'Contract Adjudication Notes'!$D$10,$A$2:$Y$35,22,FALSE),"NA")),"")</f>
        <v/>
      </c>
      <c r="V20" s="14">
        <v>72.400000000000006</v>
      </c>
      <c r="W20" s="7">
        <v>75</v>
      </c>
      <c r="X20" s="7" t="str">
        <f>IF((V20&gt;=W20),"yes",IF(V20&gt;=(W20*0.9),"within 10%","no"))</f>
        <v>within 10%</v>
      </c>
      <c r="Y20" s="7" t="str">
        <f>IF(AND($F20='Contract Adjudication Notes'!$D$9, NOT($D20='Contract Adjudication Notes'!$D$6), OR(X20="no",X20="within 10%")), IF(OR(U20=0,U20="NA")," ",IF((((V20-U20)/U20)&gt;='Contract Adjudication Notes'!$D$11),"yes","no")),"")</f>
        <v/>
      </c>
      <c r="Z20" s="24" t="str">
        <f>IF(($F20='Contract Adjudication Notes'!$D$9),IF((COUNTIF(J20:Y20,"yes")&gt;=2),"yes","no"),"")</f>
        <v/>
      </c>
    </row>
    <row r="21" spans="1:26" ht="21.75" customHeight="1" x14ac:dyDescent="0.25">
      <c r="A21" s="8" t="str">
        <f>_xlfn.CONCAT(B21,F21)</f>
        <v>Wood River Health2017</v>
      </c>
      <c r="B21" s="19" t="s">
        <v>109</v>
      </c>
      <c r="C21" s="15" t="s">
        <v>20</v>
      </c>
      <c r="D21" s="40">
        <v>1</v>
      </c>
      <c r="E21" s="15" t="s">
        <v>18</v>
      </c>
      <c r="F21" s="40">
        <v>2017</v>
      </c>
      <c r="G21" s="7" t="str">
        <f>IF($F21='Contract Adjudication Notes'!$D$9,IF($D21='Contract Adjudication Notes'!$D$6,"Start up",IFERROR(VLOOKUP($B21&amp;'Contract Adjudication Notes'!$D$10,$A$2:$Y$35,8,FALSE),"NA")),"")</f>
        <v/>
      </c>
      <c r="H21" s="14">
        <v>59.6</v>
      </c>
      <c r="I21" s="7">
        <v>79</v>
      </c>
      <c r="J21" s="7" t="str">
        <f>IF((H21&gt;=I21),"yes",IF(H21&gt;=(I21*0.9),"within 10%","no"))</f>
        <v>no</v>
      </c>
      <c r="K21" s="7" t="str">
        <f>IF(AND($F21='Contract Adjudication Notes'!$D$9, NOT($D21='Contract Adjudication Notes'!$D$6), OR(J21="no",J21="within 10%")), IF(OR(G21=0,G21="NA")," ",IF((((H21-G21)/G21)&gt;='Contract Adjudication Notes'!$D$11),"yes","no")),"")</f>
        <v/>
      </c>
      <c r="L21" s="7" t="str">
        <f>IF($F21='Contract Adjudication Notes'!$D$9,IF($D21='Contract Adjudication Notes'!$D$6,"Start up",IFERROR(VLOOKUP($B21&amp;'Contract Adjudication Notes'!$D$10,$A$2:$Y$35,13,FALSE),"NA")),"")</f>
        <v/>
      </c>
      <c r="M21" s="14">
        <v>83.5</v>
      </c>
      <c r="N21" s="7">
        <v>90</v>
      </c>
      <c r="O21" s="7" t="str">
        <f>IF((M21&gt;=N21),"yes",IF(M21&gt;=(N21*0.9),"within 10%","no"))</f>
        <v>within 10%</v>
      </c>
      <c r="P21" s="7" t="str">
        <f>IF(AND($F21='Contract Adjudication Notes'!$D$9, NOT($D21='Contract Adjudication Notes'!$D$6), OR(O21="no",O21="within 10%")), IF(OR(L21=0,L21="NA")," ",IF((((M21-L21)/L21)&gt;='Contract Adjudication Notes'!$D$11),"yes","no")),"")</f>
        <v/>
      </c>
      <c r="Q21" s="14">
        <v>63.8</v>
      </c>
      <c r="R21" s="14">
        <v>68</v>
      </c>
      <c r="S21" s="14">
        <v>46.3</v>
      </c>
      <c r="T21" s="14">
        <v>51</v>
      </c>
      <c r="U21" s="7" t="str">
        <f>IF($F21='Contract Adjudication Notes'!$D$9,IF($D21='Contract Adjudication Notes'!$D$6,"Start up",IFERROR(VLOOKUP($B21&amp;'Contract Adjudication Notes'!$D$10,$A$2:$Y$35,22,FALSE),"NA")),"")</f>
        <v/>
      </c>
      <c r="V21" s="14">
        <v>73.099999999999994</v>
      </c>
      <c r="W21" s="7">
        <v>75</v>
      </c>
      <c r="X21" s="7" t="str">
        <f>IF((V21&gt;=W21),"yes",IF(V21&gt;=(W21*0.9),"within 10%","no"))</f>
        <v>within 10%</v>
      </c>
      <c r="Y21" s="7" t="str">
        <f>IF(AND($F21='Contract Adjudication Notes'!$D$9, NOT($D21='Contract Adjudication Notes'!$D$6), OR(X21="no",X21="within 10%")), IF(OR(U21=0,U21="NA")," ",IF((((V21-U21)/U21)&gt;='Contract Adjudication Notes'!$D$11),"yes","no")),"")</f>
        <v/>
      </c>
      <c r="Z21" s="24" t="str">
        <f>IF(($F21='Contract Adjudication Notes'!$D$9),IF((COUNTIF(J21:Y21,"yes")&gt;=2),"yes","no"),"")</f>
        <v/>
      </c>
    </row>
    <row r="22" spans="1:26" ht="21" customHeight="1" x14ac:dyDescent="0.25">
      <c r="A22" s="8" t="str">
        <f>_xlfn.CONCAT(B22,F22)</f>
        <v>Wood River Health2018</v>
      </c>
      <c r="B22" s="19" t="s">
        <v>109</v>
      </c>
      <c r="C22" s="15" t="s">
        <v>20</v>
      </c>
      <c r="D22" s="40">
        <v>1</v>
      </c>
      <c r="E22" s="15" t="s">
        <v>30</v>
      </c>
      <c r="F22" s="40">
        <v>2018</v>
      </c>
      <c r="G22" s="7">
        <f>IF($F22='Contract Adjudication Notes'!$D$9,IF($D22='Contract Adjudication Notes'!$D$6,"Start up",IFERROR(VLOOKUP($B22&amp;'Contract Adjudication Notes'!$D$10,$A$2:$Y$35,8,FALSE),"NA")),"")</f>
        <v>59.6</v>
      </c>
      <c r="H22" s="14">
        <v>61.13</v>
      </c>
      <c r="I22" s="7">
        <v>79</v>
      </c>
      <c r="J22" s="7" t="str">
        <f>IF((H22&gt;=I22),"yes","no")</f>
        <v>no</v>
      </c>
      <c r="K22" s="7" t="str">
        <f>IF(AND($F22='Contract Adjudication Notes'!$D$9, NOT($D22='Contract Adjudication Notes'!$D$6), OR(J22="no",J22="within 10%")), IF(OR(G22=0,G22="NA")," ",IF((((H22-G22)/G22)&gt;='Contract Adjudication Notes'!$D$11),"yes","no")),"")</f>
        <v>yes</v>
      </c>
      <c r="L22" s="7">
        <f>IF($F22='Contract Adjudication Notes'!$D$9,IF($D22='Contract Adjudication Notes'!$D$6,"Start up",IFERROR(VLOOKUP($B22&amp;'Contract Adjudication Notes'!$D$10,$A$2:$Y$35,13,FALSE),"NA")),"")</f>
        <v>83.5</v>
      </c>
      <c r="M22" s="14">
        <v>88.59</v>
      </c>
      <c r="N22" s="7">
        <v>90</v>
      </c>
      <c r="O22" s="7" t="str">
        <f>IF((M22&gt;=N22),"yes",IF(M22&gt;=(N22*0.9),"within 10%","no"))</f>
        <v>within 10%</v>
      </c>
      <c r="P22" s="7" t="str">
        <f>IF(AND($F22='Contract Adjudication Notes'!$D$9, NOT($D22='Contract Adjudication Notes'!$D$6), OR(O22="no",O22="within 10%")), IF(OR(L22=0,L22="NA")," ",IF((((M22-L22)/L22)&gt;='Contract Adjudication Notes'!$D$11),"yes","no")),"")</f>
        <v>yes</v>
      </c>
      <c r="Q22" s="14">
        <v>64.599999999999994</v>
      </c>
      <c r="R22" s="14">
        <v>68</v>
      </c>
      <c r="S22" s="14">
        <v>51.2</v>
      </c>
      <c r="T22" s="14">
        <v>54</v>
      </c>
      <c r="U22" s="7">
        <f>IF($F22='Contract Adjudication Notes'!$D$9,IF($D22='Contract Adjudication Notes'!$D$6,"Start up",IFERROR(VLOOKUP($B22&amp;'Contract Adjudication Notes'!$D$10,$A$2:$Y$35,22,FALSE),"NA")),"")</f>
        <v>73.099999999999994</v>
      </c>
      <c r="V22" s="14">
        <v>70.209999999999994</v>
      </c>
      <c r="W22" s="7">
        <v>75</v>
      </c>
      <c r="X22" s="7" t="str">
        <f>IF((V22&gt;=W22),"yes",IF(V22&gt;=(W22*0.9),"within 10%","no"))</f>
        <v>within 10%</v>
      </c>
      <c r="Y22" s="7" t="str">
        <f>IF(AND($F22='Contract Adjudication Notes'!$D$9, NOT($D22='Contract Adjudication Notes'!$D$6), OR(X22="no",X22="within 10%")), IF(OR(U22=0,U22="NA")," ",IF((((V22-U22)/U22)&gt;='Contract Adjudication Notes'!$D$11),"yes","no")),"")</f>
        <v>no</v>
      </c>
      <c r="Z22" s="24" t="str">
        <f>IF(($F22='Contract Adjudication Notes'!$D$9),IF((COUNTIF(J22:Y22,"yes")&gt;=2),"yes","no"),"")</f>
        <v>yes</v>
      </c>
    </row>
    <row r="23" spans="1:26" ht="20.25" customHeight="1" x14ac:dyDescent="0.25">
      <c r="A23" s="8" t="str">
        <f>_xlfn.CONCAT(B23,F23)</f>
        <v>Aquidneck Pediatrics2018</v>
      </c>
      <c r="B23" s="19" t="s">
        <v>118</v>
      </c>
      <c r="C23" s="15" t="s">
        <v>29</v>
      </c>
      <c r="D23" s="40">
        <v>2</v>
      </c>
      <c r="E23" s="15" t="s">
        <v>27</v>
      </c>
      <c r="F23" s="40">
        <v>2018</v>
      </c>
      <c r="G23" s="7" t="str">
        <f>IF($F23='Contract Adjudication Notes'!$D$9,IF($D23='Contract Adjudication Notes'!$D$6,"Start up",IFERROR(VLOOKUP($B23&amp;'Contract Adjudication Notes'!$D$10,$A$2:$Y$35,8,FALSE),"NA")),"")</f>
        <v>Start up</v>
      </c>
      <c r="H23" s="14">
        <v>79.75</v>
      </c>
      <c r="I23" s="7">
        <v>79</v>
      </c>
      <c r="J23" s="7" t="str">
        <f>IF((H23&gt;=I23),"yes",IF(H23&gt;=(I23*0.9),"within 10%","no"))</f>
        <v>yes</v>
      </c>
      <c r="K23" s="7" t="str">
        <f>IF(AND($F23='Contract Adjudication Notes'!$D$9, NOT($D23='Contract Adjudication Notes'!$D$6), OR(J23="no",J23="within 10%")), IF(OR(G23=0,G23="NA")," ",IF((((H23-G23)/G23)&gt;='Contract Adjudication Notes'!$D$11),"yes","no")),"")</f>
        <v/>
      </c>
      <c r="L23" s="7" t="str">
        <f>IF($F23='Contract Adjudication Notes'!$D$9,IF($D23='Contract Adjudication Notes'!$D$6,"Start up",IFERROR(VLOOKUP($B23&amp;'Contract Adjudication Notes'!$D$10,$A$2:$Y$35,13,FALSE),"NA")),"")</f>
        <v>Start up</v>
      </c>
      <c r="M23" s="14">
        <v>91.16</v>
      </c>
      <c r="N23" s="7">
        <v>90</v>
      </c>
      <c r="O23" s="7" t="str">
        <f>IF((M23&gt;=N23),"yes",IF(M23&gt;=(N23*0.9),"within 10%","no"))</f>
        <v>yes</v>
      </c>
      <c r="P23" s="7" t="str">
        <f>IF(AND($F23='Contract Adjudication Notes'!$D$9, NOT($D23='Contract Adjudication Notes'!$D$6), OR(O23="no",O23="within 10%")), IF(OR(L23=0,L23="NA")," ",IF((((M23-L23)/L23)&gt;='Contract Adjudication Notes'!$D$11),"yes","no")),"")</f>
        <v/>
      </c>
      <c r="Q23" s="20"/>
      <c r="R23" s="20"/>
      <c r="S23" s="20"/>
      <c r="T23" s="20"/>
      <c r="U23" s="7" t="str">
        <f>IF($F23='Contract Adjudication Notes'!$D$9,IF($D23='Contract Adjudication Notes'!$D$6,"Start up",IFERROR(VLOOKUP($B23&amp;'Contract Adjudication Notes'!$D$10,$A$2:$Y$35,22,FALSE),"NA")),"")</f>
        <v>Start up</v>
      </c>
      <c r="V23" s="14">
        <v>65.59</v>
      </c>
      <c r="W23" s="7">
        <v>75</v>
      </c>
      <c r="X23" s="7" t="str">
        <f>IF((V23&gt;=W23),"yes",IF(V23&gt;=(W23*0.9),"within 10%","no"))</f>
        <v>no</v>
      </c>
      <c r="Y23" s="7" t="str">
        <f>IF(AND($F23='Contract Adjudication Notes'!$D$9, NOT($D23='Contract Adjudication Notes'!$D$6), OR(X23="no",X23="within 10%")), IF(OR(U23=0,U23="NA")," ",IF((((V23-U23)/U23)&gt;='Contract Adjudication Notes'!$D$11),"yes","no")),"")</f>
        <v/>
      </c>
      <c r="Z23" s="24" t="str">
        <f>IF(($F23='Contract Adjudication Notes'!$D$9),IF((COUNTIF(J23:Y23,"yes")&gt;=2),"yes","no"),"")</f>
        <v>yes</v>
      </c>
    </row>
    <row r="24" spans="1:26" ht="22.5" customHeight="1" x14ac:dyDescent="0.25">
      <c r="A24" s="8" t="str">
        <f>_xlfn.CONCAT(B24,F24)</f>
        <v>Barrington Family Medicine2018</v>
      </c>
      <c r="B24" s="19" t="s">
        <v>25</v>
      </c>
      <c r="C24" s="15" t="s">
        <v>20</v>
      </c>
      <c r="D24" s="40">
        <v>2</v>
      </c>
      <c r="E24" s="15" t="s">
        <v>27</v>
      </c>
      <c r="F24" s="40">
        <v>2018</v>
      </c>
      <c r="G24" s="7" t="str">
        <f>IF($F24='Contract Adjudication Notes'!$D$9,IF($D24='Contract Adjudication Notes'!$D$6,"Start up",IFERROR(VLOOKUP($B24&amp;'Contract Adjudication Notes'!$D$10,$A$2:$Y$35,8,FALSE),"NA")),"")</f>
        <v>Start up</v>
      </c>
      <c r="H24" s="14">
        <v>82.19</v>
      </c>
      <c r="I24" s="7">
        <v>79</v>
      </c>
      <c r="J24" s="7" t="str">
        <f>IF((H24&gt;=I24),"yes",IF(H24&gt;=(I24*0.9),"within 10%","no"))</f>
        <v>yes</v>
      </c>
      <c r="K24" s="7" t="str">
        <f>IF(AND($F24='Contract Adjudication Notes'!$D$9, NOT($D24='Contract Adjudication Notes'!$D$6), OR(J24="no",J24="within 10%")), IF(OR(G24=0,G24="NA")," ",IF((((H24-G24)/G24)&gt;='Contract Adjudication Notes'!$D$11),"yes","no")),"")</f>
        <v/>
      </c>
      <c r="L24" s="7" t="str">
        <f>IF($F24='Contract Adjudication Notes'!$D$9,IF($D24='Contract Adjudication Notes'!$D$6,"Start up",IFERROR(VLOOKUP($B24&amp;'Contract Adjudication Notes'!$D$10,$A$2:$Y$35,13,FALSE),"NA")),"")</f>
        <v>Start up</v>
      </c>
      <c r="M24" s="14">
        <v>95.24</v>
      </c>
      <c r="N24" s="7">
        <v>90</v>
      </c>
      <c r="O24" s="7" t="str">
        <f>IF((M24&gt;=N24),"yes",IF(M24&gt;=(N24*0.9),"within 10%","no"))</f>
        <v>yes</v>
      </c>
      <c r="P24" s="7" t="str">
        <f>IF(AND($F24='Contract Adjudication Notes'!$D$9, NOT($D24='Contract Adjudication Notes'!$D$6), OR(O24="no",O24="within 10%")), IF(OR(L24=0,L24="NA")," ",IF((((M24-L24)/L24)&gt;='Contract Adjudication Notes'!$D$11),"yes","no")),"")</f>
        <v/>
      </c>
      <c r="Q24" s="23"/>
      <c r="R24" s="23"/>
      <c r="S24" s="23"/>
      <c r="T24" s="23"/>
      <c r="U24" s="7" t="str">
        <f>IF($F24='Contract Adjudication Notes'!$D$9,IF($D24='Contract Adjudication Notes'!$D$6,"Start up",IFERROR(VLOOKUP($B24&amp;'Contract Adjudication Notes'!$D$10,$A$2:$Y$35,22,FALSE),"NA")),"")</f>
        <v>Start up</v>
      </c>
      <c r="V24" s="14">
        <v>86.67</v>
      </c>
      <c r="W24" s="7">
        <v>75</v>
      </c>
      <c r="X24" s="7" t="str">
        <f>IF((V24&gt;=W24),"yes",IF(V24&gt;=(W24*0.9),"within 10%","no"))</f>
        <v>yes</v>
      </c>
      <c r="Y24" s="7" t="str">
        <f>IF(AND($F24='Contract Adjudication Notes'!$D$9, NOT($D24='Contract Adjudication Notes'!$D$6), OR(X24="no",X24="within 10%")), IF(OR(U24=0,U24="NA")," ",IF((((V24-U24)/U24)&gt;='Contract Adjudication Notes'!$D$11),"yes","no")),"")</f>
        <v/>
      </c>
      <c r="Z24" s="24" t="str">
        <f>IF(($F24='Contract Adjudication Notes'!$D$9),IF((COUNTIF(J24:Y24,"yes")&gt;=2),"yes","no"),"")</f>
        <v>yes</v>
      </c>
    </row>
    <row r="25" spans="1:26" ht="20.25" customHeight="1" x14ac:dyDescent="0.25">
      <c r="A25" s="8" t="str">
        <f>_xlfn.CONCAT(B25,F25)</f>
        <v>Barrington Pediatrics2018</v>
      </c>
      <c r="B25" s="19" t="s">
        <v>115</v>
      </c>
      <c r="C25" s="15" t="s">
        <v>20</v>
      </c>
      <c r="D25" s="40">
        <v>2</v>
      </c>
      <c r="E25" s="15" t="s">
        <v>27</v>
      </c>
      <c r="F25" s="40">
        <v>2018</v>
      </c>
      <c r="G25" s="7" t="str">
        <f>IF($F25='Contract Adjudication Notes'!$D$9,IF($D25='Contract Adjudication Notes'!$D$6,"Start up",IFERROR(VLOOKUP($B25&amp;'Contract Adjudication Notes'!$D$10,$A$2:$Y$35,8,FALSE),"NA")),"")</f>
        <v>Start up</v>
      </c>
      <c r="H25" s="14">
        <v>85.79</v>
      </c>
      <c r="I25" s="7">
        <v>79</v>
      </c>
      <c r="J25" s="7" t="str">
        <f>IF((H25&gt;=I25),"yes",IF(H25&gt;=(I25*0.9),"within 10%","no"))</f>
        <v>yes</v>
      </c>
      <c r="K25" s="7" t="str">
        <f>IF(AND($F25='Contract Adjudication Notes'!$D$9, NOT($D25='Contract Adjudication Notes'!$D$6), OR(J25="no",J25="within 10%")), IF(OR(G25=0,G25="NA")," ",IF((((H25-G25)/G25)&gt;='Contract Adjudication Notes'!$D$11),"yes","no")),"")</f>
        <v/>
      </c>
      <c r="L25" s="7" t="str">
        <f>IF($F25='Contract Adjudication Notes'!$D$9,IF($D25='Contract Adjudication Notes'!$D$6,"Start up",IFERROR(VLOOKUP($B25&amp;'Contract Adjudication Notes'!$D$10,$A$2:$Y$35,13,FALSE),"NA")),"")</f>
        <v>Start up</v>
      </c>
      <c r="M25" s="14">
        <v>96.37</v>
      </c>
      <c r="N25" s="7">
        <v>90</v>
      </c>
      <c r="O25" s="7" t="str">
        <f>IF((M25&gt;=N25),"yes",IF(M25&gt;=(N25*0.9),"within 10%","no"))</f>
        <v>yes</v>
      </c>
      <c r="P25" s="7" t="str">
        <f>IF(AND($F25='Contract Adjudication Notes'!$D$9, NOT($D25='Contract Adjudication Notes'!$D$6), OR(O25="no",O25="within 10%")), IF(OR(L25=0,L25="NA")," ",IF((((M25-L25)/L25)&gt;='Contract Adjudication Notes'!$D$11),"yes","no")),"")</f>
        <v/>
      </c>
      <c r="Q25" s="20"/>
      <c r="R25" s="20"/>
      <c r="S25" s="20"/>
      <c r="T25" s="20"/>
      <c r="U25" s="7" t="str">
        <f>IF($F25='Contract Adjudication Notes'!$D$9,IF($D25='Contract Adjudication Notes'!$D$6,"Start up",IFERROR(VLOOKUP($B25&amp;'Contract Adjudication Notes'!$D$10,$A$2:$Y$35,22,FALSE),"NA")),"")</f>
        <v>Start up</v>
      </c>
      <c r="V25" s="14">
        <v>85.77</v>
      </c>
      <c r="W25" s="7">
        <v>75</v>
      </c>
      <c r="X25" s="7" t="str">
        <f>IF((V25&gt;=W25),"yes",IF(V25&gt;=(W25*0.9),"within 10%","no"))</f>
        <v>yes</v>
      </c>
      <c r="Y25" s="7" t="str">
        <f>IF(AND($F25='Contract Adjudication Notes'!$D$9, NOT($D25='Contract Adjudication Notes'!$D$6), OR(X25="no",X25="within 10%")), IF(OR(U25=0,U25="NA")," ",IF((((V25-U25)/U25)&gt;='Contract Adjudication Notes'!$D$11),"yes","no")),"")</f>
        <v/>
      </c>
      <c r="Z25" s="24" t="str">
        <f>IF(($F25='Contract Adjudication Notes'!$D$9),IF((COUNTIF(J25:Y25,"yes")&gt;=2),"yes","no"),"")</f>
        <v>yes</v>
      </c>
    </row>
    <row r="26" spans="1:26" ht="27.75" customHeight="1" x14ac:dyDescent="0.25">
      <c r="A26" s="8" t="str">
        <f>_xlfn.CONCAT(B26,F26)</f>
        <v>Children's Medical Group (University Pediatrics)2018</v>
      </c>
      <c r="B26" s="19" t="s">
        <v>100</v>
      </c>
      <c r="C26" s="15" t="s">
        <v>29</v>
      </c>
      <c r="D26" s="40">
        <v>2</v>
      </c>
      <c r="E26" s="15" t="s">
        <v>27</v>
      </c>
      <c r="F26" s="40">
        <v>2018</v>
      </c>
      <c r="G26" s="7" t="str">
        <f>IF($F26='Contract Adjudication Notes'!$D$9,IF($D26='Contract Adjudication Notes'!$D$6,"Start up",IFERROR(VLOOKUP($B26&amp;'Contract Adjudication Notes'!$D$10,$A$2:$Y$35,8,FALSE),"NA")),"")</f>
        <v>Start up</v>
      </c>
      <c r="H26" s="14">
        <v>79.239999999999995</v>
      </c>
      <c r="I26" s="7">
        <v>79</v>
      </c>
      <c r="J26" s="7" t="str">
        <f>IF((H26&gt;=I26),"yes",IF(H26&gt;=(I26*0.9),"within 10%","no"))</f>
        <v>yes</v>
      </c>
      <c r="K26" s="7" t="str">
        <f>IF(AND($F26='Contract Adjudication Notes'!$D$9, NOT($D26='Contract Adjudication Notes'!$D$6), OR(J26="no",J26="within 10%")), IF(OR(G26=0,G26="NA")," ",IF((((H26-G26)/G26)&gt;='Contract Adjudication Notes'!$D$11),"yes","no")),"")</f>
        <v/>
      </c>
      <c r="L26" s="7" t="str">
        <f>IF($F26='Contract Adjudication Notes'!$D$9,IF($D26='Contract Adjudication Notes'!$D$6,"Start up",IFERROR(VLOOKUP($B26&amp;'Contract Adjudication Notes'!$D$10,$A$2:$Y$35,13,FALSE),"NA")),"")</f>
        <v>Start up</v>
      </c>
      <c r="M26" s="14">
        <v>90</v>
      </c>
      <c r="N26" s="7">
        <v>90</v>
      </c>
      <c r="O26" s="7" t="str">
        <f>IF((M26&gt;=N26),"yes",IF(M26&gt;=(N26*0.9),"within 10%","no"))</f>
        <v>yes</v>
      </c>
      <c r="P26" s="7" t="str">
        <f>IF(AND($F26='Contract Adjudication Notes'!$D$9, NOT($D26='Contract Adjudication Notes'!$D$6), OR(O26="no",O26="within 10%")), IF(OR(L26=0,L26="NA")," ",IF((((M26-L26)/L26)&gt;='Contract Adjudication Notes'!$D$11),"yes","no")),"")</f>
        <v/>
      </c>
      <c r="Q26" s="20"/>
      <c r="R26" s="20"/>
      <c r="S26" s="20"/>
      <c r="T26" s="20"/>
      <c r="U26" s="7" t="str">
        <f>IF($F26='Contract Adjudication Notes'!$D$9,IF($D26='Contract Adjudication Notes'!$D$6,"Start up",IFERROR(VLOOKUP($B26&amp;'Contract Adjudication Notes'!$D$10,$A$2:$Y$35,22,FALSE),"NA")),"")</f>
        <v>Start up</v>
      </c>
      <c r="V26" s="14">
        <v>58.57</v>
      </c>
      <c r="W26" s="7">
        <v>75</v>
      </c>
      <c r="X26" s="7" t="str">
        <f>IF((V26&gt;=W26),"yes",IF(V26&gt;=(W26*0.9),"within 10%","no"))</f>
        <v>no</v>
      </c>
      <c r="Y26" s="7" t="str">
        <f>IF(AND($F26='Contract Adjudication Notes'!$D$9, NOT($D26='Contract Adjudication Notes'!$D$6), OR(X26="no",X26="within 10%")), IF(OR(U26=0,U26="NA")," ",IF((((V26-U26)/U26)&gt;='Contract Adjudication Notes'!$D$11),"yes","no")),"")</f>
        <v/>
      </c>
      <c r="Z26" s="24" t="str">
        <f>IF(($F26='Contract Adjudication Notes'!$D$9),IF((COUNTIF(J26:Y26,"yes")&gt;=2),"yes","no"),"")</f>
        <v>yes</v>
      </c>
    </row>
    <row r="27" spans="1:26" ht="20.25" customHeight="1" x14ac:dyDescent="0.25">
      <c r="A27" s="8" t="str">
        <f>_xlfn.CONCAT(B27,F27)</f>
        <v>Coastal Bald Hill Pediatrics2018</v>
      </c>
      <c r="B27" s="19" t="s">
        <v>110</v>
      </c>
      <c r="C27" s="15" t="s">
        <v>20</v>
      </c>
      <c r="D27" s="40">
        <v>2</v>
      </c>
      <c r="E27" s="15" t="s">
        <v>27</v>
      </c>
      <c r="F27" s="40">
        <v>2018</v>
      </c>
      <c r="G27" s="7" t="str">
        <f>IF($F27='Contract Adjudication Notes'!$D$9,IF($D27='Contract Adjudication Notes'!$D$6,"Start up",IFERROR(VLOOKUP($B27&amp;'Contract Adjudication Notes'!$D$10,$A$2:$Y$35,8,FALSE),"NA")),"")</f>
        <v>Start up</v>
      </c>
      <c r="H27" s="14">
        <v>91.04</v>
      </c>
      <c r="I27" s="7">
        <v>79</v>
      </c>
      <c r="J27" s="7" t="str">
        <f>IF((H27&gt;=I27),"yes",IF(H27&gt;=(I27*0.9),"within 10%","no"))</f>
        <v>yes</v>
      </c>
      <c r="K27" s="7" t="str">
        <f>IF(AND($F27='Contract Adjudication Notes'!$D$9, NOT($D27='Contract Adjudication Notes'!$D$6), OR(J27="no",J27="within 10%")), IF(OR(G27=0,G27="NA")," ",IF((((H27-G27)/G27)&gt;='Contract Adjudication Notes'!$D$11),"yes","no")),"")</f>
        <v/>
      </c>
      <c r="L27" s="7" t="str">
        <f>IF($F27='Contract Adjudication Notes'!$D$9,IF($D27='Contract Adjudication Notes'!$D$6,"Start up",IFERROR(VLOOKUP($B27&amp;'Contract Adjudication Notes'!$D$10,$A$2:$Y$35,13,FALSE),"NA")),"")</f>
        <v>Start up</v>
      </c>
      <c r="M27" s="14">
        <v>93.45</v>
      </c>
      <c r="N27" s="7">
        <v>90</v>
      </c>
      <c r="O27" s="7" t="str">
        <f>IF((M27&gt;=N27),"yes",IF(M27&gt;=(N27*0.9),"within 10%","no"))</f>
        <v>yes</v>
      </c>
      <c r="P27" s="7" t="str">
        <f>IF(AND($F27='Contract Adjudication Notes'!$D$9, NOT($D27='Contract Adjudication Notes'!$D$6), OR(O27="no",O27="within 10%")), IF(OR(L27=0,L27="NA")," ",IF((((M27-L27)/L27)&gt;='Contract Adjudication Notes'!$D$11),"yes","no")),"")</f>
        <v/>
      </c>
      <c r="Q27" s="20"/>
      <c r="R27" s="20"/>
      <c r="S27" s="20"/>
      <c r="T27" s="20"/>
      <c r="U27" s="7" t="str">
        <f>IF($F27='Contract Adjudication Notes'!$D$9,IF($D27='Contract Adjudication Notes'!$D$6,"Start up",IFERROR(VLOOKUP($B27&amp;'Contract Adjudication Notes'!$D$10,$A$2:$Y$35,22,FALSE),"NA")),"")</f>
        <v>Start up</v>
      </c>
      <c r="V27" s="14">
        <v>88.79</v>
      </c>
      <c r="W27" s="7">
        <v>75</v>
      </c>
      <c r="X27" s="7" t="str">
        <f>IF((V27&gt;=W27),"yes",IF(V27&gt;=(W27*0.9),"within 10%","no"))</f>
        <v>yes</v>
      </c>
      <c r="Y27" s="7" t="str">
        <f>IF(AND($F27='Contract Adjudication Notes'!$D$9, NOT($D27='Contract Adjudication Notes'!$D$6), OR(X27="no",X27="within 10%")), IF(OR(U27=0,U27="NA")," ",IF((((V27-U27)/U27)&gt;='Contract Adjudication Notes'!$D$11),"yes","no")),"")</f>
        <v/>
      </c>
      <c r="Z27" s="24" t="str">
        <f>IF(($F27='Contract Adjudication Notes'!$D$9),IF((COUNTIF(J27:Y27,"yes")&gt;=2),"yes","no"),"")</f>
        <v>yes</v>
      </c>
    </row>
    <row r="28" spans="1:26" ht="23.25" customHeight="1" x14ac:dyDescent="0.25">
      <c r="A28" s="8" t="str">
        <f>_xlfn.CONCAT(B28,F28)</f>
        <v>Coastal Toll Gate Pediatrics2018</v>
      </c>
      <c r="B28" s="19" t="s">
        <v>112</v>
      </c>
      <c r="C28" s="15" t="s">
        <v>20</v>
      </c>
      <c r="D28" s="40">
        <v>2</v>
      </c>
      <c r="E28" s="15" t="s">
        <v>18</v>
      </c>
      <c r="F28" s="40">
        <v>2018</v>
      </c>
      <c r="G28" s="7" t="str">
        <f>IF($F28='Contract Adjudication Notes'!$D$9,IF($D28='Contract Adjudication Notes'!$D$6,"Start up",IFERROR(VLOOKUP($B28&amp;'Contract Adjudication Notes'!$D$10,$A$2:$Y$35,8,FALSE),"NA")),"")</f>
        <v>Start up</v>
      </c>
      <c r="H28" s="14">
        <v>92.05</v>
      </c>
      <c r="I28" s="7">
        <v>79</v>
      </c>
      <c r="J28" s="7" t="str">
        <f>IF((H28&gt;=I28),"yes",IF(H28&gt;=(I28*0.9),"within 10%","no"))</f>
        <v>yes</v>
      </c>
      <c r="K28" s="7" t="str">
        <f>IF(AND($F28='Contract Adjudication Notes'!$D$9, NOT($D28='Contract Adjudication Notes'!$D$6), OR(J28="no",J28="within 10%")), IF(OR(G28=0,G28="NA")," ",IF((((H28-G28)/G28)&gt;='Contract Adjudication Notes'!$D$11),"yes","no")),"")</f>
        <v/>
      </c>
      <c r="L28" s="7" t="str">
        <f>IF($F28='Contract Adjudication Notes'!$D$9,IF($D28='Contract Adjudication Notes'!$D$6,"Start up",IFERROR(VLOOKUP($B28&amp;'Contract Adjudication Notes'!$D$10,$A$2:$Y$35,13,FALSE),"NA")),"")</f>
        <v>Start up</v>
      </c>
      <c r="M28" s="14">
        <v>91.13</v>
      </c>
      <c r="N28" s="7">
        <v>90</v>
      </c>
      <c r="O28" s="7" t="str">
        <f>IF((M28&gt;=N28),"yes",IF(M28&gt;=(N28*0.9),"within 10%","no"))</f>
        <v>yes</v>
      </c>
      <c r="P28" s="7" t="str">
        <f>IF(AND($F28='Contract Adjudication Notes'!$D$9, NOT($D28='Contract Adjudication Notes'!$D$6), OR(O28="no",O28="within 10%")), IF(OR(L28=0,L28="NA")," ",IF((((M28-L28)/L28)&gt;='Contract Adjudication Notes'!$D$11),"yes","no")),"")</f>
        <v/>
      </c>
      <c r="Q28" s="20"/>
      <c r="R28" s="20"/>
      <c r="S28" s="20"/>
      <c r="T28" s="20"/>
      <c r="U28" s="7" t="str">
        <f>IF($F28='Contract Adjudication Notes'!$D$9,IF($D28='Contract Adjudication Notes'!$D$6,"Start up",IFERROR(VLOOKUP($B28&amp;'Contract Adjudication Notes'!$D$10,$A$2:$Y$35,22,FALSE),"NA")),"")</f>
        <v>Start up</v>
      </c>
      <c r="V28" s="14">
        <v>84.78</v>
      </c>
      <c r="W28" s="7">
        <v>75</v>
      </c>
      <c r="X28" s="7" t="str">
        <f>IF((V28&gt;=W28),"yes",IF(V28&gt;=(W28*0.9),"within 10%","no"))</f>
        <v>yes</v>
      </c>
      <c r="Y28" s="7" t="str">
        <f>IF(AND($F28='Contract Adjudication Notes'!$D$9, NOT($D28='Contract Adjudication Notes'!$D$6), OR(X28="no",X28="within 10%")), IF(OR(U28=0,U28="NA")," ",IF((((V28-U28)/U28)&gt;='Contract Adjudication Notes'!$D$11),"yes","no")),"")</f>
        <v/>
      </c>
      <c r="Z28" s="24" t="str">
        <f>IF(($F28='Contract Adjudication Notes'!$D$9),IF((COUNTIF(J28:Y28,"yes")&gt;=2),"yes","no"),"")</f>
        <v>yes</v>
      </c>
    </row>
    <row r="29" spans="1:26" ht="24.75" customHeight="1" x14ac:dyDescent="0.25">
      <c r="A29" s="8" t="str">
        <f>_xlfn.CONCAT(B29,F29)</f>
        <v>Cranston (Park) Pediatrics2018</v>
      </c>
      <c r="B29" s="19" t="s">
        <v>111</v>
      </c>
      <c r="C29" s="15" t="s">
        <v>20</v>
      </c>
      <c r="D29" s="40">
        <v>2</v>
      </c>
      <c r="E29" s="15" t="s">
        <v>18</v>
      </c>
      <c r="F29" s="40">
        <v>2018</v>
      </c>
      <c r="G29" s="7" t="str">
        <f>IF($F29='Contract Adjudication Notes'!$D$9,IF($D29='Contract Adjudication Notes'!$D$6,"Start up",IFERROR(VLOOKUP($B29&amp;'Contract Adjudication Notes'!$D$10,$A$2:$Y$35,8,FALSE),"NA")),"")</f>
        <v>Start up</v>
      </c>
      <c r="H29" s="14">
        <v>87.44</v>
      </c>
      <c r="I29" s="7">
        <v>79</v>
      </c>
      <c r="J29" s="7" t="str">
        <f>IF((H29&gt;=I29),"yes",IF(H29&gt;=(I29*0.9),"within 10%","no"))</f>
        <v>yes</v>
      </c>
      <c r="K29" s="7" t="str">
        <f>IF(AND($F29='Contract Adjudication Notes'!$D$9, NOT($D29='Contract Adjudication Notes'!$D$6), OR(J29="no",J29="within 10%")), IF(OR(G29=0,G29="NA")," ",IF((((H29-G29)/G29)&gt;='Contract Adjudication Notes'!$D$11),"yes","no")),"")</f>
        <v/>
      </c>
      <c r="L29" s="7" t="str">
        <f>IF($F29='Contract Adjudication Notes'!$D$9,IF($D29='Contract Adjudication Notes'!$D$6,"Start up",IFERROR(VLOOKUP($B29&amp;'Contract Adjudication Notes'!$D$10,$A$2:$Y$35,13,FALSE),"NA")),"")</f>
        <v>Start up</v>
      </c>
      <c r="M29" s="14">
        <v>79.22</v>
      </c>
      <c r="N29" s="7">
        <v>90</v>
      </c>
      <c r="O29" s="7" t="str">
        <f>IF((M29&gt;=N29),"yes",IF(M29&gt;=(N29*0.9),"within 10%","no"))</f>
        <v>no</v>
      </c>
      <c r="P29" s="7" t="str">
        <f>IF(AND($F29='Contract Adjudication Notes'!$D$9, NOT($D29='Contract Adjudication Notes'!$D$6), OR(O29="no",O29="within 10%")), IF(OR(L29=0,L29="NA")," ",IF((((M29-L29)/L29)&gt;='Contract Adjudication Notes'!$D$11),"yes","no")),"")</f>
        <v/>
      </c>
      <c r="Q29" s="20"/>
      <c r="R29" s="20"/>
      <c r="S29" s="20"/>
      <c r="T29" s="20"/>
      <c r="U29" s="7" t="str">
        <f>IF($F29='Contract Adjudication Notes'!$D$9,IF($D29='Contract Adjudication Notes'!$D$6,"Start up",IFERROR(VLOOKUP($B29&amp;'Contract Adjudication Notes'!$D$10,$A$2:$Y$35,22,FALSE),"NA")),"")</f>
        <v>Start up</v>
      </c>
      <c r="V29" s="14">
        <v>70</v>
      </c>
      <c r="W29" s="7">
        <v>75</v>
      </c>
      <c r="X29" s="7" t="str">
        <f>IF((V29&gt;=W29),"yes",IF(V29&gt;=(W29*0.9),"within 10%","no"))</f>
        <v>within 10%</v>
      </c>
      <c r="Y29" s="7" t="str">
        <f>IF(AND($F29='Contract Adjudication Notes'!$D$9, NOT($D29='Contract Adjudication Notes'!$D$6), OR(X29="no",X29="within 10%")), IF(OR(U29=0,U29="NA")," ",IF((((V29-U29)/U29)&gt;='Contract Adjudication Notes'!$D$11),"yes","no")),"")</f>
        <v/>
      </c>
      <c r="Z29" s="24" t="str">
        <f>IF(($F29='Contract Adjudication Notes'!$D$9),IF((COUNTIF(J29:Y29,"yes")&gt;=2),"yes","no"),"")</f>
        <v>no</v>
      </c>
    </row>
    <row r="30" spans="1:26" ht="18" customHeight="1" x14ac:dyDescent="0.25">
      <c r="A30" s="8" t="str">
        <f>_xlfn.CONCAT(B30,F30)</f>
        <v>East Side Pediatrics2018</v>
      </c>
      <c r="B30" s="19" t="s">
        <v>117</v>
      </c>
      <c r="C30" s="15" t="s">
        <v>20</v>
      </c>
      <c r="D30" s="40">
        <v>2</v>
      </c>
      <c r="E30" s="15" t="s">
        <v>18</v>
      </c>
      <c r="F30" s="40">
        <v>2018</v>
      </c>
      <c r="G30" s="7" t="str">
        <f>IF($F30='Contract Adjudication Notes'!$D$9,IF($D30='Contract Adjudication Notes'!$D$6,"Start up",IFERROR(VLOOKUP($B30&amp;'Contract Adjudication Notes'!$D$10,$A$2:$Y$35,8,FALSE),"NA")),"")</f>
        <v>Start up</v>
      </c>
      <c r="H30" s="14">
        <v>71.86</v>
      </c>
      <c r="I30" s="7">
        <v>79</v>
      </c>
      <c r="J30" s="7" t="str">
        <f>IF((H30&gt;=I30),"yes",IF(H30&gt;=(I30*0.9),"within 10%","no"))</f>
        <v>within 10%</v>
      </c>
      <c r="K30" s="7" t="str">
        <f>IF(AND($F30='Contract Adjudication Notes'!$D$9, NOT($D30='Contract Adjudication Notes'!$D$6), OR(J30="no",J30="within 10%")), IF(OR(G30=0,G30="NA")," ",IF((((H30-G30)/G30)&gt;='Contract Adjudication Notes'!$D$11),"yes","no")),"")</f>
        <v/>
      </c>
      <c r="L30" s="7" t="str">
        <f>IF($F30='Contract Adjudication Notes'!$D$9,IF($D30='Contract Adjudication Notes'!$D$6,"Start up",IFERROR(VLOOKUP($B30&amp;'Contract Adjudication Notes'!$D$10,$A$2:$Y$35,13,FALSE),"NA")),"")</f>
        <v>Start up</v>
      </c>
      <c r="M30" s="14">
        <v>92.76</v>
      </c>
      <c r="N30" s="7">
        <v>90</v>
      </c>
      <c r="O30" s="7" t="str">
        <f>IF((M30&gt;=N30),"yes",IF(M30&gt;=(N30*0.9),"within 10%","no"))</f>
        <v>yes</v>
      </c>
      <c r="P30" s="7" t="str">
        <f>IF(AND($F30='Contract Adjudication Notes'!$D$9, NOT($D30='Contract Adjudication Notes'!$D$6), OR(O30="no",O30="within 10%")), IF(OR(L30=0,L30="NA")," ",IF((((M30-L30)/L30)&gt;='Contract Adjudication Notes'!$D$11),"yes","no")),"")</f>
        <v/>
      </c>
      <c r="Q30" s="20"/>
      <c r="R30" s="20"/>
      <c r="S30" s="20"/>
      <c r="T30" s="20"/>
      <c r="U30" s="7" t="str">
        <f>IF($F30='Contract Adjudication Notes'!$D$9,IF($D30='Contract Adjudication Notes'!$D$6,"Start up",IFERROR(VLOOKUP($B30&amp;'Contract Adjudication Notes'!$D$10,$A$2:$Y$35,22,FALSE),"NA")),"")</f>
        <v>Start up</v>
      </c>
      <c r="V30" s="14">
        <v>68.23</v>
      </c>
      <c r="W30" s="7">
        <v>75</v>
      </c>
      <c r="X30" s="7" t="str">
        <f>IF((V30&gt;=W30),"yes",IF(V30&gt;=(W30*0.9),"within 10%","no"))</f>
        <v>within 10%</v>
      </c>
      <c r="Y30" s="7" t="str">
        <f>IF(AND($F30='Contract Adjudication Notes'!$D$9, NOT($D30='Contract Adjudication Notes'!$D$6), OR(X30="no",X30="within 10%")), IF(OR(U30=0,U30="NA")," ",IF((((V30-U30)/U30)&gt;='Contract Adjudication Notes'!$D$11),"yes","no")),"")</f>
        <v/>
      </c>
      <c r="Z30" s="24" t="str">
        <f>IF(($F30='Contract Adjudication Notes'!$D$9),IF((COUNTIF(J30:Y30,"yes")&gt;=2),"yes","no"),"")</f>
        <v>no</v>
      </c>
    </row>
    <row r="31" spans="1:26" ht="22.5" customHeight="1" x14ac:dyDescent="0.25">
      <c r="A31" s="8" t="str">
        <f>_xlfn.CONCAT(B31,F31)</f>
        <v>Kingstown Pediatrics2018</v>
      </c>
      <c r="B31" s="19" t="s">
        <v>116</v>
      </c>
      <c r="C31" s="15" t="s">
        <v>29</v>
      </c>
      <c r="D31" s="40">
        <v>2</v>
      </c>
      <c r="E31" s="15" t="s">
        <v>27</v>
      </c>
      <c r="F31" s="40">
        <v>2018</v>
      </c>
      <c r="G31" s="7" t="str">
        <f>IF($F31='Contract Adjudication Notes'!$D$9,IF($D31='Contract Adjudication Notes'!$D$6,"Start up",IFERROR(VLOOKUP($B31&amp;'Contract Adjudication Notes'!$D$10,$A$2:$Y$35,8,FALSE),"NA")),"")</f>
        <v>Start up</v>
      </c>
      <c r="H31" s="14">
        <v>92.57</v>
      </c>
      <c r="I31" s="7">
        <v>79</v>
      </c>
      <c r="J31" s="7" t="str">
        <f>IF((H31&gt;=I31),"yes",IF(H31&gt;=(I31*0.9),"within 10%","no"))</f>
        <v>yes</v>
      </c>
      <c r="K31" s="7" t="str">
        <f>IF(AND($F31='Contract Adjudication Notes'!$D$9, NOT($D31='Contract Adjudication Notes'!$D$6), OR(J31="no",J31="within 10%")), IF(OR(G31=0,G31="NA")," ",IF((((H31-G31)/G31)&gt;='Contract Adjudication Notes'!$D$11),"yes","no")),"")</f>
        <v/>
      </c>
      <c r="L31" s="7" t="str">
        <f>IF($F31='Contract Adjudication Notes'!$D$9,IF($D31='Contract Adjudication Notes'!$D$6,"Start up",IFERROR(VLOOKUP($B31&amp;'Contract Adjudication Notes'!$D$10,$A$2:$Y$35,13,FALSE),"NA")),"")</f>
        <v>Start up</v>
      </c>
      <c r="M31" s="14">
        <v>97.12</v>
      </c>
      <c r="N31" s="7">
        <v>90</v>
      </c>
      <c r="O31" s="7" t="str">
        <f>IF((M31&gt;=N31),"yes",IF(M31&gt;=(N31*0.9),"within 10%","no"))</f>
        <v>yes</v>
      </c>
      <c r="P31" s="7" t="str">
        <f>IF(AND($F31='Contract Adjudication Notes'!$D$9, NOT($D31='Contract Adjudication Notes'!$D$6), OR(O31="no",O31="within 10%")), IF(OR(L31=0,L31="NA")," ",IF((((M31-L31)/L31)&gt;='Contract Adjudication Notes'!$D$11),"yes","no")),"")</f>
        <v/>
      </c>
      <c r="Q31" s="20"/>
      <c r="R31" s="20"/>
      <c r="S31" s="20"/>
      <c r="T31" s="20"/>
      <c r="U31" s="7" t="str">
        <f>IF($F31='Contract Adjudication Notes'!$D$9,IF($D31='Contract Adjudication Notes'!$D$6,"Start up",IFERROR(VLOOKUP($B31&amp;'Contract Adjudication Notes'!$D$10,$A$2:$Y$35,22,FALSE),"NA")),"")</f>
        <v>Start up</v>
      </c>
      <c r="V31" s="14">
        <v>65.38</v>
      </c>
      <c r="W31" s="7">
        <v>75</v>
      </c>
      <c r="X31" s="7" t="str">
        <f>IF((V31&gt;=W31),"yes",IF(V31&gt;=(W31*0.9),"within 10%","no"))</f>
        <v>no</v>
      </c>
      <c r="Y31" s="7" t="str">
        <f>IF(AND($F31='Contract Adjudication Notes'!$D$9, NOT($D31='Contract Adjudication Notes'!$D$6), OR(X31="no",X31="within 10%")), IF(OR(U31=0,U31="NA")," ",IF((((V31-U31)/U31)&gt;='Contract Adjudication Notes'!$D$11),"yes","no")),"")</f>
        <v/>
      </c>
      <c r="Z31" s="24" t="str">
        <f>IF(($F31='Contract Adjudication Notes'!$D$9),IF((COUNTIF(J31:Y31,"yes")&gt;=2),"yes","no"),"")</f>
        <v>yes</v>
      </c>
    </row>
    <row r="32" spans="1:26" ht="16.5" customHeight="1" x14ac:dyDescent="0.25">
      <c r="A32" s="8" t="str">
        <f>_xlfn.CONCAT(B32,F32)</f>
        <v>Northern RI Pediatrics2018</v>
      </c>
      <c r="B32" s="19" t="s">
        <v>114</v>
      </c>
      <c r="C32" s="15" t="s">
        <v>29</v>
      </c>
      <c r="D32" s="40">
        <v>2</v>
      </c>
      <c r="E32" s="15" t="s">
        <v>27</v>
      </c>
      <c r="F32" s="40">
        <v>2018</v>
      </c>
      <c r="G32" s="7" t="str">
        <f>IF($F32='Contract Adjudication Notes'!$D$9,IF($D32='Contract Adjudication Notes'!$D$6,"Start up",IFERROR(VLOOKUP($B32&amp;'Contract Adjudication Notes'!$D$10,$A$2:$Y$35,8,FALSE),"NA")),"")</f>
        <v>Start up</v>
      </c>
      <c r="H32" s="14">
        <v>91.05</v>
      </c>
      <c r="I32" s="7">
        <v>79</v>
      </c>
      <c r="J32" s="7" t="str">
        <f>IF((H32&gt;=I32),"yes",IF(H32&gt;=(I32*0.9),"within 10%","no"))</f>
        <v>yes</v>
      </c>
      <c r="K32" s="7" t="str">
        <f>IF(AND($F32='Contract Adjudication Notes'!$D$9, NOT($D32='Contract Adjudication Notes'!$D$6), OR(J32="no",J32="within 10%")), IF(OR(G32=0,G32="NA")," ",IF((((H32-G32)/G32)&gt;='Contract Adjudication Notes'!$D$11),"yes","no")),"")</f>
        <v/>
      </c>
      <c r="L32" s="7" t="str">
        <f>IF($F32='Contract Adjudication Notes'!$D$9,IF($D32='Contract Adjudication Notes'!$D$6,"Start up",IFERROR(VLOOKUP($B32&amp;'Contract Adjudication Notes'!$D$10,$A$2:$Y$35,13,FALSE),"NA")),"")</f>
        <v>Start up</v>
      </c>
      <c r="M32" s="14">
        <v>95.04</v>
      </c>
      <c r="N32" s="7">
        <v>90</v>
      </c>
      <c r="O32" s="7" t="str">
        <f>IF((M32&gt;=N32),"yes",IF(M32&gt;=(N32*0.9),"within 10%","no"))</f>
        <v>yes</v>
      </c>
      <c r="P32" s="7" t="str">
        <f>IF(AND($F32='Contract Adjudication Notes'!$D$9, NOT($D32='Contract Adjudication Notes'!$D$6), OR(O32="no",O32="within 10%")), IF(OR(L32=0,L32="NA")," ",IF((((M32-L32)/L32)&gt;='Contract Adjudication Notes'!$D$11),"yes","no")),"")</f>
        <v/>
      </c>
      <c r="Q32" s="20"/>
      <c r="R32" s="20"/>
      <c r="S32" s="20"/>
      <c r="T32" s="20"/>
      <c r="U32" s="7" t="str">
        <f>IF($F32='Contract Adjudication Notes'!$D$9,IF($D32='Contract Adjudication Notes'!$D$6,"Start up",IFERROR(VLOOKUP($B32&amp;'Contract Adjudication Notes'!$D$10,$A$2:$Y$35,22,FALSE),"NA")),"")</f>
        <v>Start up</v>
      </c>
      <c r="V32" s="14">
        <v>86.4</v>
      </c>
      <c r="W32" s="7">
        <v>75</v>
      </c>
      <c r="X32" s="7" t="str">
        <f>IF((V32&gt;=W32),"yes",IF(V32&gt;=(W32*0.9),"within 10%","no"))</f>
        <v>yes</v>
      </c>
      <c r="Y32" s="7" t="str">
        <f>IF(AND($F32='Contract Adjudication Notes'!$D$9, NOT($D32='Contract Adjudication Notes'!$D$6), OR(X32="no",X32="within 10%")), IF(OR(U32=0,U32="NA")," ",IF((((V32-U32)/U32)&gt;='Contract Adjudication Notes'!$D$11),"yes","no")),"")</f>
        <v/>
      </c>
      <c r="Z32" s="24" t="str">
        <f>IF(($F32='Contract Adjudication Notes'!$D$9),IF((COUNTIF(J32:Y32,"yes")&gt;=2),"yes","no"),"")</f>
        <v>yes</v>
      </c>
    </row>
    <row r="33" spans="1:34" ht="21.75" customHeight="1" x14ac:dyDescent="0.25">
      <c r="A33" s="8" t="str">
        <f>_xlfn.CONCAT(B33,F33)</f>
        <v>Thomas Puleo2018</v>
      </c>
      <c r="B33" s="19" t="s">
        <v>113</v>
      </c>
      <c r="C33" s="15" t="s">
        <v>20</v>
      </c>
      <c r="D33" s="40">
        <v>2</v>
      </c>
      <c r="E33" s="15" t="s">
        <v>27</v>
      </c>
      <c r="F33" s="40">
        <v>2018</v>
      </c>
      <c r="G33" s="7" t="str">
        <f>IF($F33='Contract Adjudication Notes'!$D$9,IF($D33='Contract Adjudication Notes'!$D$6,"Start up",IFERROR(VLOOKUP($B33&amp;'Contract Adjudication Notes'!$D$10,$A$2:$Y$35,8,FALSE),"NA")),"")</f>
        <v>Start up</v>
      </c>
      <c r="H33" s="14">
        <v>86.75</v>
      </c>
      <c r="I33" s="7">
        <v>79</v>
      </c>
      <c r="J33" s="7" t="str">
        <f>IF((H33&gt;=I33),"yes",IF(H33&gt;=(I33*0.9),"within 10%","no"))</f>
        <v>yes</v>
      </c>
      <c r="K33" s="7" t="str">
        <f>IF(AND($F33='Contract Adjudication Notes'!$D$9, NOT($D33='Contract Adjudication Notes'!$D$6), OR(J33="no",J33="within 10%")), IF(OR(G33=0,G33="NA")," ",IF((((H33-G33)/G33)&gt;='Contract Adjudication Notes'!$D$11),"yes","no")),"")</f>
        <v/>
      </c>
      <c r="L33" s="7" t="str">
        <f>IF($F33='Contract Adjudication Notes'!$D$9,IF($D33='Contract Adjudication Notes'!$D$6,"Start up",IFERROR(VLOOKUP($B33&amp;'Contract Adjudication Notes'!$D$10,$A$2:$Y$35,13,FALSE),"NA")),"")</f>
        <v>Start up</v>
      </c>
      <c r="M33" s="14">
        <v>95.24</v>
      </c>
      <c r="N33" s="7">
        <v>90</v>
      </c>
      <c r="O33" s="7" t="str">
        <f>IF((M33&gt;=N33),"yes",IF(M33&gt;=(N33*0.9),"within 10%","no"))</f>
        <v>yes</v>
      </c>
      <c r="P33" s="7" t="str">
        <f>IF(AND($F33='Contract Adjudication Notes'!$D$9, NOT($D33='Contract Adjudication Notes'!$D$6), OR(O33="no",O33="within 10%")), IF(OR(L33=0,L33="NA")," ",IF((((M33-L33)/L33)&gt;='Contract Adjudication Notes'!$D$11),"yes","no")),"")</f>
        <v/>
      </c>
      <c r="Q33" s="20"/>
      <c r="R33" s="20"/>
      <c r="S33" s="20"/>
      <c r="T33" s="20"/>
      <c r="U33" s="7" t="str">
        <f>IF($F33='Contract Adjudication Notes'!$D$9,IF($D33='Contract Adjudication Notes'!$D$6,"Start up",IFERROR(VLOOKUP($B33&amp;'Contract Adjudication Notes'!$D$10,$A$2:$Y$35,22,FALSE),"NA")),"")</f>
        <v>Start up</v>
      </c>
      <c r="V33" s="14">
        <v>88.1</v>
      </c>
      <c r="W33" s="7">
        <v>75</v>
      </c>
      <c r="X33" s="7" t="str">
        <f>IF((V33&gt;=W33),"yes",IF(V33&gt;=(W33*0.9),"within 10%","no"))</f>
        <v>yes</v>
      </c>
      <c r="Y33" s="7" t="str">
        <f>IF(AND($F33='Contract Adjudication Notes'!$D$9, NOT($D33='Contract Adjudication Notes'!$D$6), OR(X33="no",X33="within 10%")), IF(OR(U33=0,U33="NA")," ",IF((((V33-U33)/U33)&gt;='Contract Adjudication Notes'!$D$11),"yes","no")),"")</f>
        <v/>
      </c>
      <c r="Z33" s="24" t="str">
        <f>IF(($F33='Contract Adjudication Notes'!$D$9),IF((COUNTIF(J33:Y33,"yes")&gt;=2),"yes","no"),"")</f>
        <v>yes</v>
      </c>
    </row>
    <row r="34" spans="1:34" customFormat="1" x14ac:dyDescent="0.25"/>
    <row r="35" spans="1:34" customFormat="1" x14ac:dyDescent="0.25"/>
    <row r="36" spans="1:34" x14ac:dyDescent="0.25"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</row>
    <row r="37" spans="1:34" x14ac:dyDescent="0.25">
      <c r="B37" s="16" t="s">
        <v>590</v>
      </c>
      <c r="C37"/>
      <c r="G37"/>
      <c r="H37"/>
      <c r="I37"/>
      <c r="J37">
        <f>COUNTIFS($F$2:$F$35, 'Contract Adjudication Notes'!$D$9,J2:J35, "yes")</f>
        <v>14</v>
      </c>
      <c r="K37">
        <f>COUNTIF(K2:K35, "yes")</f>
        <v>2</v>
      </c>
      <c r="L37"/>
      <c r="M37"/>
      <c r="N37"/>
      <c r="O37" s="16">
        <f>COUNTIFS($F$2:$F$35, 'Contract Adjudication Notes'!$D$9,O2:O35, "yes")</f>
        <v>14</v>
      </c>
      <c r="P37" s="16">
        <f>COUNTIF(P2:P35, "yes")</f>
        <v>1</v>
      </c>
      <c r="Q37"/>
      <c r="R37"/>
      <c r="S37"/>
      <c r="T37"/>
      <c r="U37"/>
      <c r="V37"/>
      <c r="W37"/>
      <c r="X37" s="16">
        <f>COUNTIFS($F$2:$F$35, 'Contract Adjudication Notes'!$D$9,X2:X35, "yes")</f>
        <v>10</v>
      </c>
      <c r="Y37" s="16">
        <f>COUNTIF(Y2:Y35, "yes")</f>
        <v>1</v>
      </c>
      <c r="Z37"/>
      <c r="AA37"/>
      <c r="AB37"/>
      <c r="AC37"/>
      <c r="AD37"/>
      <c r="AE37"/>
      <c r="AF37"/>
      <c r="AG37"/>
      <c r="AH37"/>
    </row>
    <row r="38" spans="1:34" x14ac:dyDescent="0.25">
      <c r="B38" s="16" t="s">
        <v>591</v>
      </c>
      <c r="C38">
        <f>COUNTIF($F$2:$F$35, 'Contract Adjudication Notes'!$D$9)</f>
        <v>20</v>
      </c>
      <c r="G38"/>
      <c r="H38"/>
      <c r="I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 t="s">
        <v>613</v>
      </c>
      <c r="Z38">
        <f>COUNTIF(Z2:Z35,"yes")</f>
        <v>15</v>
      </c>
      <c r="AA38"/>
      <c r="AB38"/>
      <c r="AC38"/>
      <c r="AD38"/>
      <c r="AE38"/>
      <c r="AF38"/>
      <c r="AG38"/>
      <c r="AH38"/>
    </row>
    <row r="39" spans="1:34" x14ac:dyDescent="0.25">
      <c r="B39" s="16" t="s">
        <v>592</v>
      </c>
      <c r="C39">
        <f>COUNTIFS($F$2:$F$35, 'Contract Adjudication Notes'!$D$9, $D$2:$D$35,2)</f>
        <v>11</v>
      </c>
      <c r="G39"/>
      <c r="H39"/>
      <c r="I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</row>
    <row r="40" spans="1:34" x14ac:dyDescent="0.25">
      <c r="B40" s="16" t="s">
        <v>593</v>
      </c>
      <c r="C40" s="16">
        <f>COUNTIFS($F$2:$F$35, 'Contract Adjudication Notes'!$D$9, $D$2:$D$35,1)</f>
        <v>9</v>
      </c>
      <c r="G40"/>
      <c r="H40"/>
      <c r="I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</row>
    <row r="41" spans="1:34" x14ac:dyDescent="0.25">
      <c r="C41"/>
      <c r="G41"/>
      <c r="H41"/>
      <c r="I41" s="16" t="s">
        <v>589</v>
      </c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</row>
    <row r="42" spans="1:34" x14ac:dyDescent="0.25"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</row>
    <row r="43" spans="1:34" x14ac:dyDescent="0.25"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</row>
    <row r="44" spans="1:34" x14ac:dyDescent="0.25"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</row>
    <row r="45" spans="1:34" x14ac:dyDescent="0.25"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</row>
    <row r="46" spans="1:34" x14ac:dyDescent="0.25"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</row>
    <row r="47" spans="1:34" x14ac:dyDescent="0.25"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</row>
    <row r="48" spans="1:34" x14ac:dyDescent="0.25"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</row>
    <row r="49" spans="7:34" x14ac:dyDescent="0.25"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</row>
    <row r="50" spans="7:34" x14ac:dyDescent="0.25"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</row>
  </sheetData>
  <autoFilter ref="B1:Z50" xr:uid="{00000000-0009-0000-0000-000003000000}"/>
  <sortState ref="A3:AH33">
    <sortCondition ref="D3:D33"/>
    <sortCondition ref="A3:A33"/>
  </sortState>
  <conditionalFormatting sqref="X51:X1048576 K2:K33 P2:P33 Y2:Z33">
    <cfRule type="cellIs" dxfId="89" priority="102" operator="equal">
      <formula>"yes"</formula>
    </cfRule>
    <cfRule type="cellIs" dxfId="88" priority="103" operator="equal">
      <formula>"no"</formula>
    </cfRule>
  </conditionalFormatting>
  <conditionalFormatting sqref="J2:J33 O2:O33 X2:X33 L2:L33 U2:U33 G2:G33">
    <cfRule type="cellIs" dxfId="87" priority="87" operator="equal">
      <formula>"yes"</formula>
    </cfRule>
    <cfRule type="cellIs" dxfId="86" priority="88" operator="equal">
      <formula>"no"</formula>
    </cfRule>
    <cfRule type="cellIs" dxfId="85" priority="89" operator="equal">
      <formula>"""no"""</formula>
    </cfRule>
  </conditionalFormatting>
  <conditionalFormatting sqref="J2:J33 O2:O33 X2:X33">
    <cfRule type="cellIs" dxfId="84" priority="23" operator="equal">
      <formula>"within 10%"</formula>
    </cfRule>
    <cfRule type="cellIs" dxfId="83" priority="24" operator="equal">
      <formula>"no"</formula>
    </cfRule>
    <cfRule type="cellIs" dxfId="82" priority="25" operator="equal">
      <formula>"yes"</formula>
    </cfRule>
  </conditionalFormatting>
  <conditionalFormatting sqref="K36:K1048576 K1:K33 P2:P33 Y2:Y33">
    <cfRule type="cellIs" dxfId="81" priority="18" operator="equal">
      <formula>"no"</formula>
    </cfRule>
    <cfRule type="cellIs" dxfId="80" priority="19" operator="equal">
      <formula>"yes"</formula>
    </cfRule>
  </conditionalFormatting>
  <conditionalFormatting sqref="Z2:Z33">
    <cfRule type="cellIs" dxfId="79" priority="5" operator="equal">
      <formula>"no"</formula>
    </cfRule>
    <cfRule type="cellIs" dxfId="78" priority="6" operator="equal">
      <formula>"yes"</formula>
    </cfRule>
  </conditionalFormatting>
  <conditionalFormatting sqref="P37">
    <cfRule type="cellIs" dxfId="77" priority="3" operator="equal">
      <formula>"no"</formula>
    </cfRule>
    <cfRule type="cellIs" dxfId="76" priority="4" operator="equal">
      <formula>"yes"</formula>
    </cfRule>
  </conditionalFormatting>
  <conditionalFormatting sqref="Y37">
    <cfRule type="cellIs" dxfId="75" priority="1" operator="equal">
      <formula>"no"</formula>
    </cfRule>
    <cfRule type="cellIs" dxfId="74" priority="2" operator="equal">
      <formula>"yes"</formula>
    </cfRule>
  </conditionalFormatting>
  <pageMargins left="0.7" right="0.7" top="0.75" bottom="0.75" header="0.3" footer="0.3"/>
  <pageSetup paperSize="17" scale="7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>
      <selection activeCell="P28" sqref="P28"/>
    </sheetView>
  </sheetViews>
  <sheetFormatPr defaultRowHeight="15" x14ac:dyDescent="0.2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9BBA3F-6AB7-4014-99D4-72443F15A0C5}">
  <sheetPr>
    <pageSetUpPr fitToPage="1"/>
  </sheetPr>
  <dimension ref="A1:AN100"/>
  <sheetViews>
    <sheetView topLeftCell="A85" workbookViewId="0">
      <selection activeCell="A95" sqref="A95:XFD95"/>
    </sheetView>
  </sheetViews>
  <sheetFormatPr defaultRowHeight="15" x14ac:dyDescent="0.25"/>
  <cols>
    <col min="1" max="3" width="9.140625" style="16"/>
    <col min="4" max="4" width="14.7109375" style="16" customWidth="1"/>
    <col min="5" max="16384" width="9.140625" style="16"/>
  </cols>
  <sheetData>
    <row r="1" spans="2:40" ht="15.75" thickBot="1" x14ac:dyDescent="0.3"/>
    <row r="2" spans="2:40" x14ac:dyDescent="0.25">
      <c r="B2" s="41"/>
      <c r="C2" s="28"/>
      <c r="D2" s="28"/>
      <c r="E2" s="42" t="s">
        <v>597</v>
      </c>
      <c r="F2" s="28"/>
      <c r="G2" s="29"/>
      <c r="J2" s="41"/>
      <c r="K2" s="28"/>
      <c r="L2" s="28"/>
      <c r="M2" s="43" t="s">
        <v>609</v>
      </c>
      <c r="N2" s="28"/>
      <c r="O2" s="29"/>
      <c r="R2"/>
      <c r="S2"/>
      <c r="T2"/>
      <c r="U2"/>
      <c r="V2"/>
      <c r="W2"/>
      <c r="AI2"/>
      <c r="AJ2"/>
      <c r="AK2"/>
      <c r="AL2"/>
      <c r="AM2"/>
      <c r="AN2"/>
    </row>
    <row r="3" spans="2:40" x14ac:dyDescent="0.25">
      <c r="B3" s="5"/>
      <c r="C3" s="30" t="s">
        <v>54</v>
      </c>
      <c r="D3" s="30" t="s">
        <v>55</v>
      </c>
      <c r="E3" s="30" t="s">
        <v>56</v>
      </c>
      <c r="F3" s="30" t="s">
        <v>57</v>
      </c>
      <c r="G3" s="31" t="s">
        <v>58</v>
      </c>
      <c r="J3" s="5"/>
      <c r="K3" s="30" t="s">
        <v>54</v>
      </c>
      <c r="L3" s="30" t="s">
        <v>55</v>
      </c>
      <c r="M3" s="30" t="s">
        <v>56</v>
      </c>
      <c r="N3" s="30" t="s">
        <v>57</v>
      </c>
      <c r="O3" s="31" t="s">
        <v>58</v>
      </c>
      <c r="R3"/>
      <c r="S3"/>
      <c r="T3"/>
      <c r="U3"/>
      <c r="V3"/>
      <c r="W3"/>
      <c r="AI3"/>
      <c r="AJ3"/>
      <c r="AK3"/>
      <c r="AL3"/>
      <c r="AM3"/>
      <c r="AN3"/>
    </row>
    <row r="4" spans="2:40" x14ac:dyDescent="0.25">
      <c r="B4" s="5" t="s">
        <v>598</v>
      </c>
      <c r="C4" s="44">
        <v>76</v>
      </c>
      <c r="D4" s="30">
        <v>76</v>
      </c>
      <c r="E4" s="30">
        <v>76</v>
      </c>
      <c r="F4" s="45">
        <v>76</v>
      </c>
      <c r="G4" s="31">
        <v>76</v>
      </c>
      <c r="J4" s="5" t="s">
        <v>598</v>
      </c>
      <c r="K4" s="46">
        <v>75</v>
      </c>
      <c r="L4" s="30">
        <v>75</v>
      </c>
      <c r="M4" s="30">
        <v>75</v>
      </c>
      <c r="N4" s="30">
        <v>75</v>
      </c>
      <c r="O4" s="31">
        <v>75</v>
      </c>
      <c r="R4"/>
      <c r="S4"/>
      <c r="T4"/>
      <c r="U4"/>
      <c r="V4"/>
      <c r="W4"/>
      <c r="AI4"/>
      <c r="AJ4"/>
      <c r="AK4"/>
      <c r="AL4"/>
      <c r="AM4"/>
      <c r="AN4"/>
    </row>
    <row r="5" spans="2:40" x14ac:dyDescent="0.25">
      <c r="B5" s="57">
        <v>1</v>
      </c>
      <c r="C5" s="46">
        <f>AVERAGEIFS('Quality Measures'!$H$2:$H$67,'Quality Measures'!$F$2:$F$67,C$3,'Quality Measures'!$D$2:$D$67,$B$5)</f>
        <v>73.888888888888886</v>
      </c>
      <c r="D5" s="46">
        <f>AVERAGEIFS('Quality Measures'!$H$2:$H$67,'Quality Measures'!$F$2:$F$67,D$3,'Quality Measures'!$D$2:$D$67,$B$5)</f>
        <v>80</v>
      </c>
      <c r="E5" s="46">
        <f>AVERAGEIFS('Quality Measures'!$H$2:$H$67,'Quality Measures'!$F$2:$F$67,E$3,'Quality Measures'!$D$2:$D$67,$B$5)</f>
        <v>82.777777777777771</v>
      </c>
      <c r="F5" s="46">
        <f>AVERAGEIFS('Quality Measures'!$H$2:$H$67,'Quality Measures'!$F$2:$F$67,F$3,'Quality Measures'!$D$2:$D$67,$B$5)</f>
        <v>83.97999999999999</v>
      </c>
      <c r="G5" s="50">
        <f>AVERAGEIFS('Quality Measures'!$H$2:$H$67,'Quality Measures'!$F$2:$F$67,G$3,'Quality Measures'!$D$2:$D$67,$B$5)</f>
        <v>86.438888888888897</v>
      </c>
      <c r="J5" s="47" t="s">
        <v>48</v>
      </c>
      <c r="K5" s="46">
        <f>AVERAGEIFS('Quality Measures'!$M$2:$M$67,'Quality Measures'!$F$2:$F$67,K$3,'Quality Measures'!$D$2:$D$67,$J$5)</f>
        <v>51.555555555555557</v>
      </c>
      <c r="L5" s="46">
        <f>AVERAGEIFS('Quality Measures'!$M$2:$M$67,'Quality Measures'!$F$2:$F$67,L$3,'Quality Measures'!$D$2:$D$67,$J$5)</f>
        <v>71.888888888888886</v>
      </c>
      <c r="M5" s="46">
        <f>AVERAGEIFS('Quality Measures'!$M$2:$M$67,'Quality Measures'!$F$2:$F$67,M$3,'Quality Measures'!$D$2:$D$67,$J$5)</f>
        <v>75.444444444444443</v>
      </c>
      <c r="N5" s="46">
        <f>AVERAGEIFS('Quality Measures'!$M$2:$M$67,'Quality Measures'!$F$2:$F$67,N$3,'Quality Measures'!$D$2:$D$67,$J$5)</f>
        <v>78.875555555555565</v>
      </c>
      <c r="O5" s="50">
        <f>AVERAGEIFS('Quality Measures'!$M$2:$M$67,'Quality Measures'!$F$2:$F$67,O$3,'Quality Measures'!$D$2:$D$67,$J$5)</f>
        <v>79.121111111111119</v>
      </c>
      <c r="R5"/>
      <c r="S5"/>
      <c r="T5"/>
      <c r="U5"/>
      <c r="V5"/>
      <c r="W5"/>
      <c r="AI5"/>
      <c r="AJ5"/>
      <c r="AK5"/>
      <c r="AL5"/>
      <c r="AM5"/>
      <c r="AN5"/>
    </row>
    <row r="6" spans="2:40" ht="15.75" thickBot="1" x14ac:dyDescent="0.3">
      <c r="B6" s="58">
        <v>2</v>
      </c>
      <c r="C6" s="49" t="s">
        <v>589</v>
      </c>
      <c r="D6" s="49" t="s">
        <v>589</v>
      </c>
      <c r="E6" s="49" t="s">
        <v>589</v>
      </c>
      <c r="F6" s="49">
        <f>AVERAGEIFS('Quality Measures'!$H$2:$H$67,'Quality Measures'!$F$2:$F$67,F$3,'Quality Measures'!$D$2:$D$67,$B$6)</f>
        <v>82.251000000000005</v>
      </c>
      <c r="G6" s="51">
        <f>AVERAGEIFS('Quality Measures'!$H$2:$H$67,'Quality Measures'!$F$2:$F$67,G$3,'Quality Measures'!$D$2:$D$67,$B$6)</f>
        <v>82.267272727272726</v>
      </c>
      <c r="J6" s="48" t="s">
        <v>19</v>
      </c>
      <c r="K6" s="49" t="s">
        <v>589</v>
      </c>
      <c r="L6" s="49" t="s">
        <v>589</v>
      </c>
      <c r="M6" s="49" t="s">
        <v>589</v>
      </c>
      <c r="N6" s="49">
        <f>AVERAGEIFS('Quality Measures'!$M$2:$M$67,'Quality Measures'!$F$2:$F$67,N$3,'Quality Measures'!$D$2:$D$67,$J$6)</f>
        <v>77.434999999999988</v>
      </c>
      <c r="O6" s="51">
        <f>AVERAGEIFS('Quality Measures'!$M$2:$M$67,'Quality Measures'!$F$2:$F$67,O$3,'Quality Measures'!$D$2:$D$67,$J$6)</f>
        <v>75.126363636363649</v>
      </c>
      <c r="R6"/>
      <c r="S6"/>
      <c r="T6"/>
      <c r="U6"/>
      <c r="V6"/>
      <c r="W6"/>
      <c r="AI6"/>
      <c r="AJ6"/>
      <c r="AK6"/>
      <c r="AL6"/>
      <c r="AM6"/>
      <c r="AN6"/>
    </row>
    <row r="7" spans="2:40" x14ac:dyDescent="0.25">
      <c r="R7"/>
      <c r="S7"/>
      <c r="T7"/>
      <c r="U7"/>
      <c r="V7"/>
      <c r="W7"/>
      <c r="AI7"/>
      <c r="AJ7"/>
      <c r="AK7"/>
      <c r="AL7"/>
      <c r="AM7"/>
      <c r="AN7"/>
    </row>
    <row r="24" spans="2:25" ht="15.75" thickBot="1" x14ac:dyDescent="0.3"/>
    <row r="25" spans="2:25" x14ac:dyDescent="0.25">
      <c r="B25" s="41"/>
      <c r="C25" s="28"/>
      <c r="D25" s="28"/>
      <c r="E25" s="42" t="s">
        <v>599</v>
      </c>
      <c r="F25" s="28"/>
      <c r="G25" s="29"/>
      <c r="K25" s="41"/>
      <c r="L25" s="28"/>
      <c r="M25" s="28"/>
      <c r="N25" s="42" t="s">
        <v>600</v>
      </c>
      <c r="O25" s="28"/>
      <c r="P25" s="29"/>
      <c r="T25" s="41"/>
      <c r="U25" s="28"/>
      <c r="V25" s="28"/>
      <c r="W25" s="42" t="s">
        <v>601</v>
      </c>
      <c r="X25" s="28"/>
      <c r="Y25" s="29"/>
    </row>
    <row r="26" spans="2:25" x14ac:dyDescent="0.25">
      <c r="B26" s="5"/>
      <c r="C26" s="30">
        <v>2014</v>
      </c>
      <c r="D26" s="30">
        <v>2015</v>
      </c>
      <c r="E26" s="30">
        <v>2016</v>
      </c>
      <c r="F26" s="30">
        <v>2017</v>
      </c>
      <c r="G26" s="31">
        <v>2018</v>
      </c>
      <c r="K26" s="5"/>
      <c r="L26" s="30">
        <v>2014</v>
      </c>
      <c r="M26" s="30">
        <v>2015</v>
      </c>
      <c r="N26" s="30">
        <v>2016</v>
      </c>
      <c r="O26" s="30">
        <v>2017</v>
      </c>
      <c r="P26" s="31">
        <v>2018</v>
      </c>
      <c r="T26" s="5"/>
      <c r="U26" s="30">
        <v>2014</v>
      </c>
      <c r="V26" s="30">
        <v>2015</v>
      </c>
      <c r="W26" s="30">
        <v>2016</v>
      </c>
      <c r="X26" s="30">
        <v>2017</v>
      </c>
      <c r="Y26" s="31">
        <v>2018</v>
      </c>
    </row>
    <row r="27" spans="2:25" x14ac:dyDescent="0.25">
      <c r="B27" s="5" t="s">
        <v>598</v>
      </c>
      <c r="C27" s="44">
        <v>79</v>
      </c>
      <c r="D27" s="30">
        <v>79</v>
      </c>
      <c r="E27" s="30">
        <v>79</v>
      </c>
      <c r="F27" s="45">
        <v>79</v>
      </c>
      <c r="G27" s="31">
        <v>79</v>
      </c>
      <c r="K27" s="5" t="s">
        <v>598</v>
      </c>
      <c r="L27" s="44">
        <v>90</v>
      </c>
      <c r="M27" s="30">
        <v>90</v>
      </c>
      <c r="N27" s="30">
        <v>90</v>
      </c>
      <c r="O27" s="45">
        <v>90</v>
      </c>
      <c r="P27" s="31">
        <v>90</v>
      </c>
      <c r="T27" s="5" t="s">
        <v>598</v>
      </c>
      <c r="U27" s="44">
        <v>75</v>
      </c>
      <c r="V27" s="30">
        <v>75</v>
      </c>
      <c r="W27" s="30">
        <v>75</v>
      </c>
      <c r="X27" s="45">
        <v>75</v>
      </c>
      <c r="Y27" s="31">
        <v>75</v>
      </c>
    </row>
    <row r="28" spans="2:25" x14ac:dyDescent="0.25">
      <c r="B28" s="57">
        <v>1</v>
      </c>
      <c r="C28" s="46">
        <f>AVERAGEIFS('CAHPS Measures'!$H$2:$H$35,'CAHPS Measures'!$F$2:$F$35,C$26,'CAHPS Measures'!$D$2:$D$35,$B$28)</f>
        <v>41.2</v>
      </c>
      <c r="D28" s="46">
        <f>AVERAGEIFS('CAHPS Measures'!$H$2:$H$35,'CAHPS Measures'!$F$2:$F$35,D$26,'CAHPS Measures'!$D$2:$D$35,$B$28)</f>
        <v>58.8</v>
      </c>
      <c r="E28" s="46">
        <f>AVERAGEIFS('CAHPS Measures'!$H$2:$H$35,'CAHPS Measures'!$F$2:$F$35,E$26,'CAHPS Measures'!$D$2:$D$35,$B$28)</f>
        <v>60.7</v>
      </c>
      <c r="F28" s="46">
        <f>AVERAGEIFS('CAHPS Measures'!$H$2:$H$35,'CAHPS Measures'!$F$2:$F$35,F$26,'CAHPS Measures'!$D$2:$D$35,$B$28)</f>
        <v>78.86666666666666</v>
      </c>
      <c r="G28" s="50">
        <f>AVERAGEIFS('CAHPS Measures'!$H$2:$H$35,'CAHPS Measures'!$F$2:$F$35,G$26,'CAHPS Measures'!$D$2:$D$35,$B$28)</f>
        <v>75.714444444444453</v>
      </c>
      <c r="K28" s="57">
        <v>1</v>
      </c>
      <c r="L28" s="46">
        <f>AVERAGEIFS('CAHPS Measures'!$M$2:$M$35,'CAHPS Measures'!$F$2:$F$35,L$26,'CAHPS Measures'!$D$2:$D$35,$K$28)</f>
        <v>75.7</v>
      </c>
      <c r="M28" s="46">
        <f>AVERAGEIFS('CAHPS Measures'!$M$2:$M$35,'CAHPS Measures'!$F$2:$F$35,M$26,'CAHPS Measures'!$D$2:$D$35,$K$28)</f>
        <v>77.3</v>
      </c>
      <c r="N28" s="46">
        <f>AVERAGEIFS('CAHPS Measures'!$M$2:$M$35,'CAHPS Measures'!$F$2:$F$35,N$26,'CAHPS Measures'!$D$2:$D$35,$K$28)</f>
        <v>81</v>
      </c>
      <c r="O28" s="46">
        <f>AVERAGEIFS('CAHPS Measures'!$M$2:$M$35,'CAHPS Measures'!$F$2:$F$35,O$26,'CAHPS Measures'!$D$2:$D$35,$K$28)</f>
        <v>89.833333333333329</v>
      </c>
      <c r="P28" s="50">
        <f>AVERAGEIFS('CAHPS Measures'!$M$2:$M$35,'CAHPS Measures'!$F$2:$F$35,P$26,'CAHPS Measures'!$D$2:$D$35,$K$28)</f>
        <v>89.365555555555545</v>
      </c>
      <c r="T28" s="57">
        <v>1</v>
      </c>
      <c r="U28" s="46">
        <f>AVERAGEIFS('CAHPS Measures'!$V$2:$V$35,'CAHPS Measures'!$F$2:$F$35,U$26,'CAHPS Measures'!$D$2:$D$35,$T$28)</f>
        <v>66</v>
      </c>
      <c r="V28" s="46">
        <f>AVERAGEIFS('CAHPS Measures'!$V$2:$V$35,'CAHPS Measures'!$F$2:$F$35,V$26,'CAHPS Measures'!$D$2:$D$35,$T$28)</f>
        <v>71.599999999999994</v>
      </c>
      <c r="W28" s="46">
        <f>AVERAGEIFS('CAHPS Measures'!$V$2:$V$35,'CAHPS Measures'!$F$2:$F$35,W$26,'CAHPS Measures'!$D$2:$D$35,$T$28)</f>
        <v>72.400000000000006</v>
      </c>
      <c r="X28" s="46">
        <f>AVERAGEIFS('CAHPS Measures'!$V$2:$V$35,'CAHPS Measures'!$F$2:$F$35,X$26,'CAHPS Measures'!$D$2:$D$35,$T$28)</f>
        <v>77.800000000000011</v>
      </c>
      <c r="Y28" s="50">
        <f>AVERAGEIFS('CAHPS Measures'!$V$2:$V$35,'CAHPS Measures'!$F$2:$F$35,Y$26,'CAHPS Measures'!$D$2:$D$35,$T$28)</f>
        <v>74.236666666666679</v>
      </c>
    </row>
    <row r="29" spans="2:25" ht="15.75" thickBot="1" x14ac:dyDescent="0.3">
      <c r="B29" s="58">
        <v>2</v>
      </c>
      <c r="C29" s="49" t="s">
        <v>589</v>
      </c>
      <c r="D29" s="49" t="s">
        <v>589</v>
      </c>
      <c r="E29" s="49" t="s">
        <v>589</v>
      </c>
      <c r="F29" s="49" t="e">
        <f>AVERAGEIFS('CAHPS Measures'!$H$2:$H$35,'CAHPS Measures'!$F$2:$F$35,F$26,'CAHPS Measures'!$D$2:$D$35,$B$29)</f>
        <v>#DIV/0!</v>
      </c>
      <c r="G29" s="51">
        <f>AVERAGEIFS('CAHPS Measures'!$H$2:$H$35,'CAHPS Measures'!$F$2:$F$35,G$26,'CAHPS Measures'!$D$2:$D$35,$B$29)</f>
        <v>85.43</v>
      </c>
      <c r="K29" s="58">
        <v>2</v>
      </c>
      <c r="L29" s="49" t="s">
        <v>589</v>
      </c>
      <c r="M29" s="49" t="s">
        <v>589</v>
      </c>
      <c r="N29" s="49" t="s">
        <v>589</v>
      </c>
      <c r="O29" s="49" t="e">
        <f>AVERAGEIFS('CAHPS Measures'!$M$2:$M$35,'CAHPS Measures'!$F$2:$F$35,O$26,'CAHPS Measures'!$D$2:$D$35,$K$29)</f>
        <v>#DIV/0!</v>
      </c>
      <c r="P29" s="51">
        <f>AVERAGEIFS('CAHPS Measures'!$M$2:$M$35,'CAHPS Measures'!$F$2:$F$35,P$26,'CAHPS Measures'!$D$2:$D$35,$K$29)</f>
        <v>92.429999999999993</v>
      </c>
      <c r="T29" s="58">
        <v>2</v>
      </c>
      <c r="U29" s="49" t="s">
        <v>589</v>
      </c>
      <c r="V29" s="49" t="s">
        <v>589</v>
      </c>
      <c r="W29" s="49" t="s">
        <v>589</v>
      </c>
      <c r="X29" s="49" t="e">
        <f>AVERAGEIFS('CAHPS Measures'!$V$2:$V$35,'CAHPS Measures'!$F$2:$F$35,X$26,'CAHPS Measures'!$D$2:$D$35,$T$29)</f>
        <v>#DIV/0!</v>
      </c>
      <c r="Y29" s="51">
        <f>AVERAGEIFS('CAHPS Measures'!$V$2:$V$35,'CAHPS Measures'!$F$2:$F$35,Y$26,'CAHPS Measures'!$D$2:$D$35,$T$29)</f>
        <v>77.11636363636363</v>
      </c>
    </row>
    <row r="30" spans="2:25" x14ac:dyDescent="0.25">
      <c r="B30"/>
      <c r="C30"/>
      <c r="D30"/>
      <c r="E30"/>
      <c r="F30"/>
      <c r="G30"/>
      <c r="K30"/>
      <c r="L30"/>
      <c r="M30"/>
      <c r="N30"/>
      <c r="O30"/>
      <c r="P30"/>
      <c r="T30"/>
      <c r="U30"/>
      <c r="V30"/>
      <c r="W30"/>
      <c r="X30"/>
      <c r="Y30"/>
    </row>
    <row r="50" spans="1:40" ht="15.75" thickBot="1" x14ac:dyDescent="0.3">
      <c r="I50"/>
      <c r="J50"/>
      <c r="K50"/>
      <c r="L50"/>
      <c r="M50"/>
      <c r="N50"/>
      <c r="O50"/>
    </row>
    <row r="51" spans="1:40" x14ac:dyDescent="0.25">
      <c r="A51" s="41"/>
      <c r="B51" s="28"/>
      <c r="C51" s="28"/>
      <c r="D51" s="28"/>
      <c r="E51" s="42" t="s">
        <v>597</v>
      </c>
      <c r="F51" s="28"/>
      <c r="G51" s="29"/>
      <c r="I51"/>
      <c r="J51" s="41"/>
      <c r="K51" s="28"/>
      <c r="L51" s="28"/>
      <c r="M51" s="28"/>
      <c r="N51" s="43" t="s">
        <v>609</v>
      </c>
      <c r="O51" s="28"/>
      <c r="P51" s="29"/>
    </row>
    <row r="52" spans="1:40" x14ac:dyDescent="0.25">
      <c r="A52" s="5"/>
      <c r="B52" s="30"/>
      <c r="C52" s="30" t="s">
        <v>54</v>
      </c>
      <c r="D52" s="30" t="s">
        <v>55</v>
      </c>
      <c r="E52" s="30" t="s">
        <v>56</v>
      </c>
      <c r="F52" s="30" t="s">
        <v>57</v>
      </c>
      <c r="G52" s="31" t="s">
        <v>58</v>
      </c>
      <c r="I52"/>
      <c r="J52" s="5"/>
      <c r="K52" s="30"/>
      <c r="L52" s="30" t="s">
        <v>54</v>
      </c>
      <c r="M52" s="30" t="s">
        <v>55</v>
      </c>
      <c r="N52" s="30" t="s">
        <v>56</v>
      </c>
      <c r="O52" s="30" t="s">
        <v>57</v>
      </c>
      <c r="P52" s="31" t="s">
        <v>58</v>
      </c>
      <c r="R52"/>
      <c r="S52"/>
      <c r="T52"/>
      <c r="U52"/>
      <c r="V52"/>
      <c r="W52"/>
      <c r="X52"/>
      <c r="AH52"/>
      <c r="AI52"/>
      <c r="AJ52"/>
      <c r="AK52"/>
      <c r="AL52"/>
      <c r="AM52"/>
      <c r="AN52"/>
    </row>
    <row r="53" spans="1:40" x14ac:dyDescent="0.25">
      <c r="A53" s="5"/>
      <c r="B53" s="30" t="s">
        <v>598</v>
      </c>
      <c r="C53" s="44">
        <v>95</v>
      </c>
      <c r="D53" s="30">
        <v>95</v>
      </c>
      <c r="E53" s="30">
        <v>95</v>
      </c>
      <c r="F53" s="45">
        <v>95</v>
      </c>
      <c r="G53" s="31">
        <v>95</v>
      </c>
      <c r="I53"/>
      <c r="J53" s="5"/>
      <c r="K53" s="30" t="s">
        <v>598</v>
      </c>
      <c r="L53" s="46">
        <v>80</v>
      </c>
      <c r="M53" s="30">
        <v>80</v>
      </c>
      <c r="N53" s="30">
        <v>80</v>
      </c>
      <c r="O53" s="30">
        <v>80</v>
      </c>
      <c r="P53" s="31">
        <v>80</v>
      </c>
      <c r="R53"/>
      <c r="S53"/>
      <c r="T53"/>
      <c r="U53"/>
      <c r="V53"/>
      <c r="W53"/>
      <c r="X53"/>
      <c r="AH53"/>
      <c r="AI53"/>
      <c r="AJ53"/>
      <c r="AK53"/>
      <c r="AL53"/>
      <c r="AM53"/>
      <c r="AN53"/>
    </row>
    <row r="54" spans="1:40" x14ac:dyDescent="0.25">
      <c r="A54" s="5" t="s">
        <v>602</v>
      </c>
      <c r="B54" s="52" t="s">
        <v>603</v>
      </c>
      <c r="C54" s="46">
        <f>AVERAGEIFS('Quality Measures'!$H$2:$H$67,'Quality Measures'!$F$2:$F$67,C$52,'Quality Measures'!$C$2:$C$67,$A$54)</f>
        <v>80.333333333333329</v>
      </c>
      <c r="D54" s="46">
        <f>AVERAGEIFS('Quality Measures'!$H$2:$H$67,'Quality Measures'!$F$2:$F$67,D$52,'Quality Measures'!$C$2:$C$67,$A$54)</f>
        <v>85</v>
      </c>
      <c r="E54" s="46">
        <f>AVERAGEIFS('Quality Measures'!$H$2:$H$67,'Quality Measures'!$F$2:$F$67,E$52,'Quality Measures'!$C$2:$C$67,$A$54)</f>
        <v>85.666666666666671</v>
      </c>
      <c r="F54" s="46">
        <f>AVERAGEIFS('Quality Measures'!$H$2:$H$67,'Quality Measures'!$F$2:$F$67,F$52,'Quality Measures'!$C$2:$C$67,$A$54)</f>
        <v>87.215454545454534</v>
      </c>
      <c r="G54" s="50">
        <f>AVERAGEIFS('Quality Measures'!$H$2:$H$67,'Quality Measures'!$F$2:$F$67,G$52,'Quality Measures'!$C$2:$C$67,$A$54)</f>
        <v>87.522499999999994</v>
      </c>
      <c r="I54"/>
      <c r="J54" s="5" t="s">
        <v>602</v>
      </c>
      <c r="K54" s="52" t="s">
        <v>603</v>
      </c>
      <c r="L54" s="46">
        <f>AVERAGEIFS('Quality Measures'!$M$2:$M$67,'Quality Measures'!$F$2:$F$67,L$52,'Quality Measures'!$C$2:$C$67,$J$54)</f>
        <v>66.333333333333329</v>
      </c>
      <c r="M54" s="46">
        <f>AVERAGEIFS('Quality Measures'!$M$2:$M$67,'Quality Measures'!$F$2:$F$67,M$52,'Quality Measures'!$C$2:$C$67,$J$54)</f>
        <v>76.333333333333329</v>
      </c>
      <c r="N54" s="46">
        <f>AVERAGEIFS('Quality Measures'!$M$2:$M$67,'Quality Measures'!$F$2:$F$67,N$52,'Quality Measures'!$C$2:$C$67,$J$54)</f>
        <v>78</v>
      </c>
      <c r="O54" s="46">
        <f>AVERAGEIFS('Quality Measures'!$M$2:$M$67,'Quality Measures'!$F$2:$F$67,O$52,'Quality Measures'!$C$2:$C$67,$J$54)</f>
        <v>86.260909090909081</v>
      </c>
      <c r="P54" s="50">
        <f>AVERAGEIFS('Quality Measures'!$M$2:$M$67,'Quality Measures'!$F$2:$F$67,P$52,'Quality Measures'!$C$2:$C$67,$J$54)</f>
        <v>84.501666666666679</v>
      </c>
      <c r="R54"/>
      <c r="S54"/>
      <c r="T54"/>
      <c r="U54"/>
      <c r="V54"/>
      <c r="W54"/>
      <c r="X54"/>
      <c r="AH54"/>
      <c r="AI54"/>
      <c r="AJ54"/>
      <c r="AK54"/>
      <c r="AL54"/>
      <c r="AM54"/>
      <c r="AN54"/>
    </row>
    <row r="55" spans="1:40" ht="15.75" thickBot="1" x14ac:dyDescent="0.3">
      <c r="A55" s="37" t="s">
        <v>604</v>
      </c>
      <c r="B55" s="53" t="s">
        <v>605</v>
      </c>
      <c r="C55" s="49">
        <f>AVERAGEIFS('Quality Measures'!$H$2:$H$67,'Quality Measures'!$F$2:$F$67,C$52,'Quality Measures'!$C$2:$C$67,$A$55)</f>
        <v>61</v>
      </c>
      <c r="D55" s="49">
        <f>AVERAGEIFS('Quality Measures'!$H$2:$H$67,'Quality Measures'!$F$2:$F$67,D$52,'Quality Measures'!$C$2:$C$67,$A$55)</f>
        <v>70</v>
      </c>
      <c r="E55" s="49">
        <f>AVERAGEIFS('Quality Measures'!$H$2:$H$67,'Quality Measures'!$F$2:$F$67,E$52,'Quality Measures'!$C$2:$C$67,$A$55)</f>
        <v>77</v>
      </c>
      <c r="F55" s="49">
        <f>AVERAGEIFS('Quality Measures'!$H$2:$H$67,'Quality Measures'!$F$2:$F$67,F$52,'Quality Measures'!$C$2:$C$67,$A$55)</f>
        <v>77.36999999999999</v>
      </c>
      <c r="G55" s="51">
        <f>AVERAGEIFS('Quality Measures'!$H$2:$H$67,'Quality Measures'!$F$2:$F$67,G$52,'Quality Measures'!$C$2:$C$67,$A$55)</f>
        <v>79.077500000000001</v>
      </c>
      <c r="I55"/>
      <c r="J55" s="37" t="s">
        <v>604</v>
      </c>
      <c r="K55" s="53" t="s">
        <v>605</v>
      </c>
      <c r="L55" s="49">
        <f>AVERAGEIFS('Quality Measures'!$M$2:$M$67,'Quality Measures'!$F$2:$F$67,L$52,'Quality Measures'!$C$2:$C$67,$J$55)</f>
        <v>22</v>
      </c>
      <c r="M55" s="49">
        <f>AVERAGEIFS('Quality Measures'!$M$2:$M$67,'Quality Measures'!$F$2:$F$67,M$52,'Quality Measures'!$C$2:$C$67,$J$55)</f>
        <v>63</v>
      </c>
      <c r="N55" s="49">
        <f>AVERAGEIFS('Quality Measures'!$M$2:$M$67,'Quality Measures'!$F$2:$F$67,N$52,'Quality Measures'!$C$2:$C$67,$J$55)</f>
        <v>70.333333333333329</v>
      </c>
      <c r="O55" s="49">
        <f>AVERAGEIFS('Quality Measures'!$M$2:$M$67,'Quality Measures'!$F$2:$F$67,O$52,'Quality Measures'!$C$2:$C$67,$J$55)</f>
        <v>66.92</v>
      </c>
      <c r="P55" s="51">
        <f>AVERAGEIFS('Quality Measures'!$M$2:$M$67,'Quality Measures'!$F$2:$F$67,P$52,'Quality Measures'!$C$2:$C$67,$J$55)</f>
        <v>65.557500000000005</v>
      </c>
      <c r="R55"/>
      <c r="S55"/>
      <c r="T55"/>
      <c r="U55"/>
      <c r="V55"/>
      <c r="W55"/>
      <c r="X55"/>
      <c r="AH55"/>
      <c r="AI55"/>
      <c r="AJ55"/>
      <c r="AK55"/>
      <c r="AL55"/>
      <c r="AM55"/>
      <c r="AN55"/>
    </row>
    <row r="56" spans="1:40" x14ac:dyDescent="0.25">
      <c r="I56"/>
      <c r="J56"/>
      <c r="K56"/>
      <c r="L56"/>
      <c r="M56"/>
      <c r="N56"/>
      <c r="O56"/>
      <c r="R56"/>
      <c r="S56"/>
      <c r="T56"/>
      <c r="U56"/>
      <c r="V56"/>
      <c r="W56"/>
      <c r="X56"/>
      <c r="AH56"/>
      <c r="AI56"/>
      <c r="AJ56"/>
      <c r="AK56"/>
      <c r="AL56"/>
      <c r="AM56"/>
      <c r="AN56"/>
    </row>
    <row r="57" spans="1:40" x14ac:dyDescent="0.25">
      <c r="R57"/>
      <c r="S57"/>
      <c r="T57"/>
      <c r="U57"/>
      <c r="V57"/>
      <c r="W57"/>
      <c r="X57"/>
      <c r="AH57"/>
      <c r="AI57"/>
      <c r="AJ57"/>
      <c r="AK57"/>
      <c r="AL57"/>
      <c r="AM57"/>
      <c r="AN57"/>
    </row>
    <row r="72" spans="1:25" ht="15.75" thickBot="1" x14ac:dyDescent="0.3"/>
    <row r="73" spans="1:25" x14ac:dyDescent="0.25">
      <c r="A73" s="41"/>
      <c r="B73" s="28"/>
      <c r="C73" s="28"/>
      <c r="D73" s="28"/>
      <c r="E73" s="42" t="s">
        <v>599</v>
      </c>
      <c r="F73" s="28"/>
      <c r="G73" s="29"/>
      <c r="J73" s="41"/>
      <c r="K73" s="28"/>
      <c r="L73" s="28"/>
      <c r="M73" s="28"/>
      <c r="N73" s="42" t="s">
        <v>600</v>
      </c>
      <c r="O73" s="28"/>
      <c r="P73" s="29"/>
      <c r="S73" s="41"/>
      <c r="T73" s="28"/>
      <c r="U73" s="28"/>
      <c r="V73" s="28"/>
      <c r="W73" s="42" t="s">
        <v>601</v>
      </c>
      <c r="X73" s="28"/>
      <c r="Y73" s="29"/>
    </row>
    <row r="74" spans="1:25" x14ac:dyDescent="0.25">
      <c r="A74" s="5"/>
      <c r="B74" s="30"/>
      <c r="C74" s="30">
        <v>2014</v>
      </c>
      <c r="D74" s="30">
        <v>2015</v>
      </c>
      <c r="E74" s="30">
        <v>2016</v>
      </c>
      <c r="F74" s="30">
        <v>2017</v>
      </c>
      <c r="G74" s="31">
        <v>2018</v>
      </c>
      <c r="J74" s="5"/>
      <c r="K74" s="30"/>
      <c r="L74" s="30">
        <v>2014</v>
      </c>
      <c r="M74" s="30">
        <v>2015</v>
      </c>
      <c r="N74" s="30">
        <v>2016</v>
      </c>
      <c r="O74" s="30">
        <v>2017</v>
      </c>
      <c r="P74" s="31">
        <v>2018</v>
      </c>
      <c r="S74" s="5"/>
      <c r="T74" s="30"/>
      <c r="U74" s="30">
        <v>2014</v>
      </c>
      <c r="V74" s="30">
        <v>2015</v>
      </c>
      <c r="W74" s="30">
        <v>2016</v>
      </c>
      <c r="X74" s="30">
        <v>2017</v>
      </c>
      <c r="Y74" s="31">
        <v>2018</v>
      </c>
    </row>
    <row r="75" spans="1:25" x14ac:dyDescent="0.25">
      <c r="A75" s="5"/>
      <c r="B75" s="30" t="s">
        <v>598</v>
      </c>
      <c r="C75" s="44">
        <v>79</v>
      </c>
      <c r="D75" s="30">
        <v>79</v>
      </c>
      <c r="E75" s="30">
        <v>79</v>
      </c>
      <c r="F75" s="45">
        <v>79</v>
      </c>
      <c r="G75" s="31">
        <v>79</v>
      </c>
      <c r="J75" s="5"/>
      <c r="K75" s="30" t="s">
        <v>598</v>
      </c>
      <c r="L75" s="44">
        <v>90</v>
      </c>
      <c r="M75" s="30">
        <v>90</v>
      </c>
      <c r="N75" s="30">
        <v>90</v>
      </c>
      <c r="O75" s="45">
        <v>90</v>
      </c>
      <c r="P75" s="31">
        <v>90</v>
      </c>
      <c r="S75" s="5"/>
      <c r="T75" s="30" t="s">
        <v>598</v>
      </c>
      <c r="U75" s="44">
        <v>75</v>
      </c>
      <c r="V75" s="44">
        <v>75</v>
      </c>
      <c r="W75" s="44">
        <v>75</v>
      </c>
      <c r="X75" s="44">
        <v>75</v>
      </c>
      <c r="Y75" s="55">
        <v>75</v>
      </c>
    </row>
    <row r="76" spans="1:25" x14ac:dyDescent="0.25">
      <c r="A76" s="5" t="s">
        <v>602</v>
      </c>
      <c r="B76" s="52" t="s">
        <v>603</v>
      </c>
      <c r="C76" s="46">
        <f>AVERAGEIFS('CAHPS Measures'!$H$2:$H$145,'CAHPS Measures'!$F$2:$F$145,C$74,'CAHPS Measures'!$C$2:$C$145,$A$76)</f>
        <v>41.2</v>
      </c>
      <c r="D76" s="46" t="e">
        <f>AVERAGEIFS('CAHPS Measures'!$H$2:$H$145,'CAHPS Measures'!$F$2:$F$145,D$74,'CAHPS Measures'!$C$2:$C$145,$A$76)</f>
        <v>#DIV/0!</v>
      </c>
      <c r="E76" s="46">
        <f>AVERAGEIFS('CAHPS Measures'!$H$2:$H$145,'CAHPS Measures'!$F$2:$F$145,E$74,'CAHPS Measures'!$C$2:$C$145,$A$76)</f>
        <v>60.7</v>
      </c>
      <c r="F76" s="46">
        <f>AVERAGEIFS('CAHPS Measures'!$H$2:$H$145,'CAHPS Measures'!$F$2:$F$145,F$74,'CAHPS Measures'!$C$2:$C$145,$A$76)</f>
        <v>81.38000000000001</v>
      </c>
      <c r="G76" s="50">
        <f>AVERAGEIFS('CAHPS Measures'!$H$2:$H$145,'CAHPS Measures'!$F$2:$F$145,G$74,'CAHPS Measures'!$C$2:$C$145,$A$76)</f>
        <v>83.51</v>
      </c>
      <c r="J76" s="5" t="s">
        <v>602</v>
      </c>
      <c r="K76" s="52" t="s">
        <v>603</v>
      </c>
      <c r="L76" s="46">
        <f>AVERAGEIFS('CAHPS Measures'!$M$2:$M$145,'CAHPS Measures'!$F$2:$F$145,L$74,'CAHPS Measures'!$C$2:$C$145,$J$76)</f>
        <v>75.7</v>
      </c>
      <c r="M76" s="46" t="e">
        <f>AVERAGEIFS('CAHPS Measures'!$M$2:$M$145,'CAHPS Measures'!$F$2:$F$145,M$74,'CAHPS Measures'!$C$2:$C$145,$J$76)</f>
        <v>#DIV/0!</v>
      </c>
      <c r="N76" s="46">
        <f>AVERAGEIFS('CAHPS Measures'!$M$2:$M$145,'CAHPS Measures'!$F$2:$F$145,N$74,'CAHPS Measures'!$C$2:$C$145,$J$76)</f>
        <v>81</v>
      </c>
      <c r="O76" s="46">
        <f>AVERAGEIFS('CAHPS Measures'!$M$2:$M$145,'CAHPS Measures'!$F$2:$F$145,O$74,'CAHPS Measures'!$C$2:$C$145,$J$76)</f>
        <v>92.47999999999999</v>
      </c>
      <c r="P76" s="50">
        <f>AVERAGEIFS('CAHPS Measures'!$M$2:$M$145,'CAHPS Measures'!$F$2:$F$145,P$74,'CAHPS Measures'!$C$2:$C$145,$J$76)</f>
        <v>92.18</v>
      </c>
      <c r="S76" s="5" t="s">
        <v>602</v>
      </c>
      <c r="T76" s="52" t="s">
        <v>603</v>
      </c>
      <c r="U76" s="46">
        <f>AVERAGEIFS('CAHPS Measures'!$V$2:$V$145,'CAHPS Measures'!$F$2:$F$145,U$74,'CAHPS Measures'!$C$2:$C$145,$S$76)</f>
        <v>66</v>
      </c>
      <c r="V76" s="46" t="e">
        <f>AVERAGEIFS('CAHPS Measures'!$V$2:$V$145,'CAHPS Measures'!$F$2:$F$145,V$74,'CAHPS Measures'!$C$2:$C$145,$S$76)</f>
        <v>#DIV/0!</v>
      </c>
      <c r="W76" s="46">
        <f>AVERAGEIFS('CAHPS Measures'!$V$2:$V$145,'CAHPS Measures'!$F$2:$F$145,W$74,'CAHPS Measures'!$C$2:$C$145,$S$76)</f>
        <v>72.400000000000006</v>
      </c>
      <c r="X76" s="46">
        <f>AVERAGEIFS('CAHPS Measures'!$V$2:$V$145,'CAHPS Measures'!$F$2:$F$145,X$74,'CAHPS Measures'!$C$2:$C$145,$S$76)</f>
        <v>83.97999999999999</v>
      </c>
      <c r="Y76" s="50">
        <f>AVERAGEIFS('CAHPS Measures'!$V$2:$V$145,'CAHPS Measures'!$F$2:$F$145,Y$74,'CAHPS Measures'!$C$2:$C$145,$S$76)</f>
        <v>81.218333333333334</v>
      </c>
    </row>
    <row r="77" spans="1:25" ht="15.75" thickBot="1" x14ac:dyDescent="0.3">
      <c r="A77" s="37" t="s">
        <v>604</v>
      </c>
      <c r="B77" s="53" t="s">
        <v>605</v>
      </c>
      <c r="C77" s="49" t="s">
        <v>589</v>
      </c>
      <c r="D77" s="49" t="s">
        <v>589</v>
      </c>
      <c r="E77" s="49" t="s">
        <v>589</v>
      </c>
      <c r="F77" s="49">
        <f>AVERAGEIFS('CAHPS Measures'!$H$2:$H$145,'CAHPS Measures'!$F$2:$F$145,F$74,'CAHPS Measures'!$C$2:$C$145,$A$77)</f>
        <v>75.724999999999994</v>
      </c>
      <c r="G77" s="51">
        <f>AVERAGEIFS('CAHPS Measures'!$H$2:$H$145,'CAHPS Measures'!$F$2:$F$145,G$74,'CAHPS Measures'!$C$2:$C$145,$A$77)</f>
        <v>77.38</v>
      </c>
      <c r="J77" s="37" t="s">
        <v>604</v>
      </c>
      <c r="K77" s="53" t="s">
        <v>605</v>
      </c>
      <c r="L77" s="49" t="s">
        <v>589</v>
      </c>
      <c r="M77" s="49" t="s">
        <v>589</v>
      </c>
      <c r="N77" s="49" t="s">
        <v>589</v>
      </c>
      <c r="O77" s="49">
        <f>AVERAGEIFS('CAHPS Measures'!$M$2:$M$145,'CAHPS Measures'!$F$2:$F$145,O$74,'CAHPS Measures'!$C$2:$C$145,$J$77)</f>
        <v>86.525000000000006</v>
      </c>
      <c r="P77" s="51">
        <f>AVERAGEIFS('CAHPS Measures'!$M$2:$M$145,'CAHPS Measures'!$F$2:$F$145,P$74,'CAHPS Measures'!$C$2:$C$145,$J$77)</f>
        <v>89.357499999999987</v>
      </c>
      <c r="S77" s="37" t="s">
        <v>604</v>
      </c>
      <c r="T77" s="53" t="s">
        <v>605</v>
      </c>
      <c r="U77" s="49" t="s">
        <v>589</v>
      </c>
      <c r="V77" s="49" t="s">
        <v>589</v>
      </c>
      <c r="W77" s="49" t="s">
        <v>589</v>
      </c>
      <c r="X77" s="49">
        <f>AVERAGEIFS('CAHPS Measures'!$V$2:$V$145,'CAHPS Measures'!$F$2:$F$145,X$74,'CAHPS Measures'!$C$2:$C$145,$S$77)</f>
        <v>70.075000000000003</v>
      </c>
      <c r="Y77" s="51">
        <f>AVERAGEIFS('CAHPS Measures'!$V$2:$V$145,'CAHPS Measures'!$F$2:$F$145,Y$74,'CAHPS Measures'!$C$2:$C$145,$S$77)</f>
        <v>67.72375000000001</v>
      </c>
    </row>
    <row r="94" spans="1:16" ht="15.75" thickBot="1" x14ac:dyDescent="0.3"/>
    <row r="95" spans="1:16" x14ac:dyDescent="0.25">
      <c r="A95" s="30"/>
      <c r="B95" s="41"/>
      <c r="C95" s="28"/>
      <c r="D95" s="28"/>
      <c r="E95" s="42" t="s">
        <v>606</v>
      </c>
      <c r="F95" s="28"/>
      <c r="G95" s="29"/>
      <c r="J95" s="41"/>
      <c r="K95" s="28"/>
      <c r="L95" s="28"/>
      <c r="M95" s="42" t="s">
        <v>612</v>
      </c>
      <c r="N95" s="29"/>
      <c r="O95"/>
      <c r="P95"/>
    </row>
    <row r="96" spans="1:16" ht="30" x14ac:dyDescent="0.25">
      <c r="A96" s="30"/>
      <c r="B96" s="5"/>
      <c r="C96" s="30" t="s">
        <v>597</v>
      </c>
      <c r="D96" s="59" t="s">
        <v>609</v>
      </c>
      <c r="E96" s="45" t="s">
        <v>610</v>
      </c>
      <c r="F96" s="45" t="s">
        <v>611</v>
      </c>
      <c r="G96" s="54" t="s">
        <v>614</v>
      </c>
      <c r="H96" s="30"/>
      <c r="J96" s="5"/>
      <c r="K96" s="30" t="s">
        <v>599</v>
      </c>
      <c r="L96" s="30" t="s">
        <v>600</v>
      </c>
      <c r="M96" s="30" t="s">
        <v>601</v>
      </c>
      <c r="N96" s="31" t="s">
        <v>615</v>
      </c>
      <c r="O96"/>
      <c r="P96"/>
    </row>
    <row r="97" spans="1:16" x14ac:dyDescent="0.25">
      <c r="A97" s="30"/>
      <c r="B97" s="5" t="s">
        <v>607</v>
      </c>
      <c r="C97" s="44">
        <f>('Quality Measures'!I70+'Quality Measures'!K70)</f>
        <v>18</v>
      </c>
      <c r="D97" s="44">
        <f>'Quality Measures'!N70+'Quality Measures'!P70</f>
        <v>17</v>
      </c>
      <c r="E97" s="44">
        <f>'Quality Measures'!Q72</f>
        <v>16</v>
      </c>
      <c r="F97" s="30">
        <f>'Quality Measures'!Q73</f>
        <v>3</v>
      </c>
      <c r="G97" s="31">
        <f>'CAHPS Measures'!Z38</f>
        <v>15</v>
      </c>
      <c r="H97" s="30"/>
      <c r="J97" s="5" t="s">
        <v>607</v>
      </c>
      <c r="K97" s="44">
        <f>'CAHPS Measures'!J37+'CAHPS Measures'!K37</f>
        <v>16</v>
      </c>
      <c r="L97" s="44">
        <f>'CAHPS Measures'!O37+'CAHPS Measures'!P37</f>
        <v>15</v>
      </c>
      <c r="M97" s="44">
        <f>'CAHPS Measures'!X37+'CAHPS Measures'!Y37</f>
        <v>11</v>
      </c>
      <c r="N97" s="55">
        <f>'CAHPS Measures'!Z38</f>
        <v>15</v>
      </c>
      <c r="O97"/>
      <c r="P97"/>
    </row>
    <row r="98" spans="1:16" ht="15.75" thickBot="1" x14ac:dyDescent="0.3">
      <c r="A98" s="30"/>
      <c r="B98" s="48" t="s">
        <v>608</v>
      </c>
      <c r="C98" s="56">
        <f>'Quality Measures'!$I$71-'Cohort summaries'!C97</f>
        <v>2</v>
      </c>
      <c r="D98" s="56">
        <f>'Quality Measures'!$I$71-'Cohort summaries'!D97</f>
        <v>3</v>
      </c>
      <c r="E98" s="56" t="s">
        <v>589</v>
      </c>
      <c r="F98" s="34"/>
      <c r="G98" s="35">
        <f>'Quality Measures'!$I$71-'Cohort summaries'!G97</f>
        <v>5</v>
      </c>
      <c r="H98" s="30"/>
      <c r="J98" s="48" t="s">
        <v>608</v>
      </c>
      <c r="K98" s="56">
        <f>'CAHPS Measures'!$C$38-'Cohort summaries'!K97</f>
        <v>4</v>
      </c>
      <c r="L98" s="56">
        <f>'CAHPS Measures'!$C$38-'Cohort summaries'!L97</f>
        <v>5</v>
      </c>
      <c r="M98" s="56">
        <f>'CAHPS Measures'!$C$38-'Cohort summaries'!M97</f>
        <v>9</v>
      </c>
      <c r="N98" s="56">
        <f>'CAHPS Measures'!$C$38-'Cohort summaries'!N97</f>
        <v>5</v>
      </c>
      <c r="O98"/>
      <c r="P98"/>
    </row>
    <row r="99" spans="1:16" x14ac:dyDescent="0.25">
      <c r="B99" s="30"/>
      <c r="C99" s="30"/>
      <c r="D99" s="30"/>
      <c r="E99" s="30"/>
      <c r="F99" s="30"/>
      <c r="G99" s="30"/>
      <c r="H99" s="30"/>
    </row>
    <row r="100" spans="1:16" x14ac:dyDescent="0.25">
      <c r="H100" s="30"/>
    </row>
  </sheetData>
  <conditionalFormatting sqref="F2">
    <cfRule type="cellIs" dxfId="73" priority="102" operator="equal">
      <formula>"no"</formula>
    </cfRule>
    <cfRule type="cellIs" dxfId="72" priority="105" operator="equal">
      <formula>"""no"""</formula>
    </cfRule>
    <cfRule type="cellIs" dxfId="71" priority="106" operator="equal">
      <formula>"""no"""</formula>
    </cfRule>
  </conditionalFormatting>
  <conditionalFormatting sqref="D2 D97 C3:C6 D5:G6 C52:C53 C54:G55 C74 U74:U75 C76:G77 L74:L77 M76:P77 V75:Y76 U76:Y77">
    <cfRule type="cellIs" dxfId="70" priority="103" operator="equal">
      <formula>"yes"</formula>
    </cfRule>
    <cfRule type="cellIs" dxfId="69" priority="104" operator="equal">
      <formula>"no"</formula>
    </cfRule>
  </conditionalFormatting>
  <conditionalFormatting sqref="J2:J6">
    <cfRule type="cellIs" dxfId="68" priority="92" operator="equal">
      <formula>"yes"</formula>
    </cfRule>
    <cfRule type="cellIs" dxfId="67" priority="93" operator="equal">
      <formula>"no"</formula>
    </cfRule>
  </conditionalFormatting>
  <conditionalFormatting sqref="O2:O4">
    <cfRule type="cellIs" dxfId="66" priority="90" operator="equal">
      <formula>"yes"</formula>
    </cfRule>
    <cfRule type="cellIs" dxfId="65" priority="91" operator="equal">
      <formula>"no"</formula>
    </cfRule>
  </conditionalFormatting>
  <conditionalFormatting sqref="F25">
    <cfRule type="cellIs" dxfId="64" priority="81" operator="equal">
      <formula>"no"</formula>
    </cfRule>
    <cfRule type="cellIs" dxfId="63" priority="84" operator="equal">
      <formula>"""no"""</formula>
    </cfRule>
    <cfRule type="cellIs" dxfId="62" priority="85" operator="equal">
      <formula>"""no"""</formula>
    </cfRule>
  </conditionalFormatting>
  <conditionalFormatting sqref="D25 C26:C29 D28:G29">
    <cfRule type="cellIs" dxfId="61" priority="82" operator="equal">
      <formula>"yes"</formula>
    </cfRule>
    <cfRule type="cellIs" dxfId="60" priority="83" operator="equal">
      <formula>"no"</formula>
    </cfRule>
  </conditionalFormatting>
  <conditionalFormatting sqref="O25">
    <cfRule type="cellIs" dxfId="59" priority="76" operator="equal">
      <formula>"no"</formula>
    </cfRule>
    <cfRule type="cellIs" dxfId="58" priority="79" operator="equal">
      <formula>"""no"""</formula>
    </cfRule>
    <cfRule type="cellIs" dxfId="57" priority="80" operator="equal">
      <formula>"""no"""</formula>
    </cfRule>
  </conditionalFormatting>
  <conditionalFormatting sqref="M25 L26:L27">
    <cfRule type="cellIs" dxfId="56" priority="77" operator="equal">
      <formula>"yes"</formula>
    </cfRule>
    <cfRule type="cellIs" dxfId="55" priority="78" operator="equal">
      <formula>"no"</formula>
    </cfRule>
  </conditionalFormatting>
  <conditionalFormatting sqref="X25">
    <cfRule type="cellIs" dxfId="54" priority="71" operator="equal">
      <formula>"no"</formula>
    </cfRule>
    <cfRule type="cellIs" dxfId="53" priority="74" operator="equal">
      <formula>"""no"""</formula>
    </cfRule>
    <cfRule type="cellIs" dxfId="52" priority="75" operator="equal">
      <formula>"""no"""</formula>
    </cfRule>
  </conditionalFormatting>
  <conditionalFormatting sqref="V25 U26:U27">
    <cfRule type="cellIs" dxfId="51" priority="72" operator="equal">
      <formula>"yes"</formula>
    </cfRule>
    <cfRule type="cellIs" dxfId="50" priority="73" operator="equal">
      <formula>"no"</formula>
    </cfRule>
  </conditionalFormatting>
  <conditionalFormatting sqref="F51">
    <cfRule type="cellIs" dxfId="49" priority="66" operator="equal">
      <formula>"no"</formula>
    </cfRule>
    <cfRule type="cellIs" dxfId="48" priority="69" operator="equal">
      <formula>"""no"""</formula>
    </cfRule>
    <cfRule type="cellIs" dxfId="47" priority="70" operator="equal">
      <formula>"""no"""</formula>
    </cfRule>
  </conditionalFormatting>
  <conditionalFormatting sqref="D51">
    <cfRule type="cellIs" dxfId="46" priority="67" operator="equal">
      <formula>"yes"</formula>
    </cfRule>
    <cfRule type="cellIs" dxfId="45" priority="68" operator="equal">
      <formula>"no"</formula>
    </cfRule>
  </conditionalFormatting>
  <conditionalFormatting sqref="K51:K52">
    <cfRule type="cellIs" dxfId="44" priority="56" operator="equal">
      <formula>"yes"</formula>
    </cfRule>
    <cfRule type="cellIs" dxfId="43" priority="57" operator="equal">
      <formula>"no"</formula>
    </cfRule>
  </conditionalFormatting>
  <conditionalFormatting sqref="P51:P53">
    <cfRule type="cellIs" dxfId="42" priority="54" operator="equal">
      <formula>"yes"</formula>
    </cfRule>
    <cfRule type="cellIs" dxfId="41" priority="55" operator="equal">
      <formula>"no"</formula>
    </cfRule>
  </conditionalFormatting>
  <conditionalFormatting sqref="F73">
    <cfRule type="cellIs" dxfId="40" priority="43" operator="equal">
      <formula>"no"</formula>
    </cfRule>
    <cfRule type="cellIs" dxfId="39" priority="46" operator="equal">
      <formula>"""no"""</formula>
    </cfRule>
    <cfRule type="cellIs" dxfId="38" priority="47" operator="equal">
      <formula>"""no"""</formula>
    </cfRule>
  </conditionalFormatting>
  <conditionalFormatting sqref="D73">
    <cfRule type="cellIs" dxfId="37" priority="44" operator="equal">
      <formula>"yes"</formula>
    </cfRule>
    <cfRule type="cellIs" dxfId="36" priority="45" operator="equal">
      <formula>"no"</formula>
    </cfRule>
  </conditionalFormatting>
  <conditionalFormatting sqref="O73">
    <cfRule type="cellIs" dxfId="35" priority="38" operator="equal">
      <formula>"no"</formula>
    </cfRule>
    <cfRule type="cellIs" dxfId="34" priority="41" operator="equal">
      <formula>"""no"""</formula>
    </cfRule>
    <cfRule type="cellIs" dxfId="33" priority="42" operator="equal">
      <formula>"""no"""</formula>
    </cfRule>
  </conditionalFormatting>
  <conditionalFormatting sqref="M73">
    <cfRule type="cellIs" dxfId="32" priority="39" operator="equal">
      <formula>"yes"</formula>
    </cfRule>
    <cfRule type="cellIs" dxfId="31" priority="40" operator="equal">
      <formula>"no"</formula>
    </cfRule>
  </conditionalFormatting>
  <conditionalFormatting sqref="X73">
    <cfRule type="cellIs" dxfId="30" priority="33" operator="equal">
      <formula>"no"</formula>
    </cfRule>
    <cfRule type="cellIs" dxfId="29" priority="36" operator="equal">
      <formula>"""no"""</formula>
    </cfRule>
    <cfRule type="cellIs" dxfId="28" priority="37" operator="equal">
      <formula>"""no"""</formula>
    </cfRule>
  </conditionalFormatting>
  <conditionalFormatting sqref="V73">
    <cfRule type="cellIs" dxfId="27" priority="34" operator="equal">
      <formula>"yes"</formula>
    </cfRule>
    <cfRule type="cellIs" dxfId="26" priority="35" operator="equal">
      <formula>"no"</formula>
    </cfRule>
  </conditionalFormatting>
  <conditionalFormatting sqref="F95">
    <cfRule type="cellIs" dxfId="25" priority="28" operator="equal">
      <formula>"no"</formula>
    </cfRule>
    <cfRule type="cellIs" dxfId="24" priority="31" operator="equal">
      <formula>"""no"""</formula>
    </cfRule>
    <cfRule type="cellIs" dxfId="23" priority="32" operator="equal">
      <formula>"""no"""</formula>
    </cfRule>
  </conditionalFormatting>
  <conditionalFormatting sqref="D95 C96:C98 D98:E98">
    <cfRule type="cellIs" dxfId="22" priority="29" operator="equal">
      <formula>"yes"</formula>
    </cfRule>
    <cfRule type="cellIs" dxfId="21" priority="30" operator="equal">
      <formula>"no"</formula>
    </cfRule>
  </conditionalFormatting>
  <conditionalFormatting sqref="E97">
    <cfRule type="cellIs" dxfId="20" priority="24" operator="equal">
      <formula>"yes"</formula>
    </cfRule>
    <cfRule type="cellIs" dxfId="19" priority="25" operator="equal">
      <formula>"no"</formula>
    </cfRule>
  </conditionalFormatting>
  <conditionalFormatting sqref="K5:O6">
    <cfRule type="cellIs" dxfId="18" priority="20" operator="equal">
      <formula>"yes"</formula>
    </cfRule>
    <cfRule type="cellIs" dxfId="17" priority="21" operator="equal">
      <formula>"no"</formula>
    </cfRule>
  </conditionalFormatting>
  <conditionalFormatting sqref="L28:P28">
    <cfRule type="cellIs" dxfId="16" priority="18" operator="equal">
      <formula>"yes"</formula>
    </cfRule>
    <cfRule type="cellIs" dxfId="15" priority="19" operator="equal">
      <formula>"no"</formula>
    </cfRule>
  </conditionalFormatting>
  <conditionalFormatting sqref="L29:P29">
    <cfRule type="cellIs" dxfId="14" priority="16" operator="equal">
      <formula>"yes"</formula>
    </cfRule>
    <cfRule type="cellIs" dxfId="13" priority="17" operator="equal">
      <formula>"no"</formula>
    </cfRule>
  </conditionalFormatting>
  <conditionalFormatting sqref="U28:Y29">
    <cfRule type="cellIs" dxfId="12" priority="14" operator="equal">
      <formula>"yes"</formula>
    </cfRule>
    <cfRule type="cellIs" dxfId="11" priority="15" operator="equal">
      <formula>"no"</formula>
    </cfRule>
  </conditionalFormatting>
  <conditionalFormatting sqref="C75">
    <cfRule type="cellIs" dxfId="10" priority="12" operator="equal">
      <formula>"yes"</formula>
    </cfRule>
    <cfRule type="cellIs" dxfId="9" priority="13" operator="equal">
      <formula>"no"</formula>
    </cfRule>
  </conditionalFormatting>
  <conditionalFormatting sqref="G98">
    <cfRule type="cellIs" dxfId="8" priority="10" operator="equal">
      <formula>"yes"</formula>
    </cfRule>
    <cfRule type="cellIs" dxfId="7" priority="11" operator="equal">
      <formula>"no"</formula>
    </cfRule>
  </conditionalFormatting>
  <conditionalFormatting sqref="N95">
    <cfRule type="cellIs" dxfId="6" priority="5" operator="equal">
      <formula>"no"</formula>
    </cfRule>
    <cfRule type="cellIs" dxfId="5" priority="8" operator="equal">
      <formula>"""no"""</formula>
    </cfRule>
    <cfRule type="cellIs" dxfId="4" priority="9" operator="equal">
      <formula>"""no"""</formula>
    </cfRule>
  </conditionalFormatting>
  <conditionalFormatting sqref="L95 K96:K98 L98:N98">
    <cfRule type="cellIs" dxfId="3" priority="6" operator="equal">
      <formula>"yes"</formula>
    </cfRule>
    <cfRule type="cellIs" dxfId="2" priority="7" operator="equal">
      <formula>"no"</formula>
    </cfRule>
  </conditionalFormatting>
  <conditionalFormatting sqref="L97:N97">
    <cfRule type="cellIs" dxfId="1" priority="3" operator="equal">
      <formula>"yes"</formula>
    </cfRule>
    <cfRule type="cellIs" dxfId="0" priority="4" operator="equal">
      <formula>"no"</formula>
    </cfRule>
  </conditionalFormatting>
  <pageMargins left="0.25" right="0.25" top="0.75" bottom="0.75" header="0.3" footer="0.3"/>
  <pageSetup paperSize="17" scale="86" fitToHeight="0" orientation="landscape" r:id="rId1"/>
  <rowBreaks count="2" manualBreakCount="2">
    <brk id="47" max="16383" man="1"/>
    <brk id="94" max="16383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11"/>
  <sheetViews>
    <sheetView workbookViewId="0">
      <selection activeCell="D3" sqref="D3"/>
    </sheetView>
  </sheetViews>
  <sheetFormatPr defaultRowHeight="15" x14ac:dyDescent="0.25"/>
  <sheetData>
    <row r="1" spans="1:4" x14ac:dyDescent="0.25">
      <c r="A1" s="27" t="s">
        <v>588</v>
      </c>
      <c r="B1" s="28"/>
      <c r="C1" s="28"/>
      <c r="D1" s="29"/>
    </row>
    <row r="2" spans="1:4" x14ac:dyDescent="0.25">
      <c r="A2" s="5" t="s">
        <v>582</v>
      </c>
      <c r="B2" s="30"/>
      <c r="C2" s="30"/>
      <c r="D2" s="31" t="s">
        <v>58</v>
      </c>
    </row>
    <row r="3" spans="1:4" x14ac:dyDescent="0.25">
      <c r="A3" s="5" t="s">
        <v>583</v>
      </c>
      <c r="B3" s="30"/>
      <c r="C3" s="30"/>
      <c r="D3" s="31" t="s">
        <v>54</v>
      </c>
    </row>
    <row r="4" spans="1:4" x14ac:dyDescent="0.25">
      <c r="A4" s="5" t="s">
        <v>584</v>
      </c>
      <c r="B4" s="30"/>
      <c r="C4" s="30"/>
      <c r="D4" s="32">
        <v>2</v>
      </c>
    </row>
    <row r="5" spans="1:4" x14ac:dyDescent="0.25">
      <c r="A5" s="5" t="s">
        <v>585</v>
      </c>
      <c r="B5" s="30"/>
      <c r="C5" s="30"/>
      <c r="D5" s="32" t="s">
        <v>589</v>
      </c>
    </row>
    <row r="6" spans="1:4" ht="15.75" thickBot="1" x14ac:dyDescent="0.3">
      <c r="A6" s="33" t="s">
        <v>586</v>
      </c>
      <c r="B6" s="34"/>
      <c r="C6" s="34"/>
      <c r="D6" s="35">
        <v>2</v>
      </c>
    </row>
    <row r="7" spans="1:4" ht="15.75" thickBot="1" x14ac:dyDescent="0.3">
      <c r="A7" s="16"/>
      <c r="B7" s="16"/>
      <c r="C7" s="16"/>
      <c r="D7" s="16"/>
    </row>
    <row r="8" spans="1:4" x14ac:dyDescent="0.25">
      <c r="A8" s="27" t="s">
        <v>581</v>
      </c>
      <c r="B8" s="28"/>
      <c r="C8" s="28"/>
      <c r="D8" s="29"/>
    </row>
    <row r="9" spans="1:4" x14ac:dyDescent="0.25">
      <c r="A9" s="5" t="s">
        <v>582</v>
      </c>
      <c r="B9" s="30"/>
      <c r="C9" s="30"/>
      <c r="D9" s="36">
        <v>2018</v>
      </c>
    </row>
    <row r="10" spans="1:4" x14ac:dyDescent="0.25">
      <c r="A10" s="5" t="s">
        <v>583</v>
      </c>
      <c r="B10" s="30"/>
      <c r="C10" s="30"/>
      <c r="D10" s="36">
        <v>2017</v>
      </c>
    </row>
    <row r="11" spans="1:4" ht="15.75" thickBot="1" x14ac:dyDescent="0.3">
      <c r="A11" s="37" t="s">
        <v>587</v>
      </c>
      <c r="B11" s="34"/>
      <c r="C11" s="34"/>
      <c r="D11" s="38">
        <v>0.02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CTC Kids Practice Information</vt:lpstr>
      <vt:lpstr>Practice Milestones</vt:lpstr>
      <vt:lpstr>Quality Measures</vt:lpstr>
      <vt:lpstr>CAHPS Measures</vt:lpstr>
      <vt:lpstr>Contract Adjudication Summary</vt:lpstr>
      <vt:lpstr>Cohort summaries</vt:lpstr>
      <vt:lpstr>Contract Adjudication Notes</vt:lpstr>
      <vt:lpstr>Sheet6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Karner, Carolyn</cp:lastModifiedBy>
  <cp:lastPrinted>2018-05-21T20:50:07Z</cp:lastPrinted>
  <dcterms:created xsi:type="dcterms:W3CDTF">2018-05-02T12:27:33Z</dcterms:created>
  <dcterms:modified xsi:type="dcterms:W3CDTF">2018-05-21T21:08:01Z</dcterms:modified>
</cp:coreProperties>
</file>